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onco s. Ascona\Comune\Contabilità\2025\COMUNE\"/>
    </mc:Choice>
  </mc:AlternateContent>
  <xr:revisionPtr revIDLastSave="0" documentId="13_ncr:1_{5191E4BE-25F1-4A2F-AF25-7090AB8715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FilterDatabase" localSheetId="0" hidden="1">Foglio1!$B$12:$H$17</definedName>
    <definedName name="Print_Area" localSheetId="0">Foglio1!$B:$G</definedName>
    <definedName name="Print_Titles" localSheetId="0">Foglio1!$12:$12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6" i="1" l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84" i="1"/>
  <c r="F77" i="1"/>
  <c r="F76" i="1"/>
  <c r="F75" i="1"/>
  <c r="F74" i="1"/>
  <c r="F69" i="1"/>
  <c r="F68" i="1"/>
  <c r="F67" i="1"/>
  <c r="F66" i="1"/>
  <c r="F64" i="1"/>
  <c r="F63" i="1"/>
  <c r="F61" i="1"/>
  <c r="F60" i="1"/>
  <c r="F58" i="1"/>
  <c r="F57" i="1"/>
  <c r="F56" i="1"/>
  <c r="F55" i="1"/>
  <c r="F52" i="1"/>
  <c r="F51" i="1"/>
  <c r="F42" i="1"/>
  <c r="F41" i="1"/>
  <c r="F39" i="1"/>
  <c r="F35" i="1"/>
  <c r="F34" i="1"/>
  <c r="F33" i="1"/>
  <c r="F32" i="1"/>
  <c r="F22" i="1"/>
  <c r="F21" i="1"/>
  <c r="F14" i="1"/>
  <c r="F13" i="1"/>
  <c r="F15" i="1"/>
  <c r="C9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F96" i="1"/>
  <c r="F95" i="1"/>
  <c r="F94" i="1"/>
  <c r="F93" i="1"/>
  <c r="F92" i="1"/>
  <c r="F91" i="1"/>
  <c r="F90" i="1"/>
  <c r="F89" i="1"/>
  <c r="F88" i="1"/>
  <c r="F87" i="1"/>
  <c r="F86" i="1"/>
  <c r="F85" i="1"/>
  <c r="F83" i="1"/>
  <c r="F82" i="1"/>
  <c r="F81" i="1"/>
  <c r="F80" i="1"/>
  <c r="F79" i="1"/>
  <c r="F78" i="1"/>
  <c r="F73" i="1"/>
  <c r="F72" i="1"/>
  <c r="F71" i="1"/>
  <c r="F70" i="1"/>
  <c r="F65" i="1"/>
  <c r="F62" i="1"/>
  <c r="F59" i="1"/>
  <c r="F54" i="1"/>
  <c r="F53" i="1"/>
  <c r="F50" i="1"/>
  <c r="F49" i="1"/>
  <c r="F48" i="1"/>
  <c r="F47" i="1"/>
  <c r="F46" i="1"/>
  <c r="F45" i="1"/>
  <c r="F40" i="1"/>
  <c r="F44" i="1"/>
  <c r="F43" i="1"/>
  <c r="F38" i="1"/>
  <c r="F37" i="1"/>
  <c r="F36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C96" i="1" l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15" i="1"/>
  <c r="H18" i="1"/>
  <c r="H14" i="1" l="1"/>
  <c r="H13" i="1"/>
</calcChain>
</file>

<file path=xl/sharedStrings.xml><?xml version="1.0" encoding="utf-8"?>
<sst xmlns="http://schemas.openxmlformats.org/spreadsheetml/2006/main" count="411" uniqueCount="17">
  <si>
    <t>Edile principale</t>
  </si>
  <si>
    <t>Fornitura</t>
  </si>
  <si>
    <t>Servizio</t>
  </si>
  <si>
    <t>Data
aggiudicazione</t>
  </si>
  <si>
    <t>Genere di
procedura</t>
  </si>
  <si>
    <t>Oggetto ed entità
della commessa</t>
  </si>
  <si>
    <t>Genere di
commessa</t>
  </si>
  <si>
    <t>Aggiudicatario
nome e sede/domicilio</t>
  </si>
  <si>
    <t>Importo CHF
(IVA esclusa)</t>
  </si>
  <si>
    <t>LCPubb - Procedura su invito</t>
  </si>
  <si>
    <t>Organo decisionale</t>
  </si>
  <si>
    <t>Municipio</t>
  </si>
  <si>
    <t>LCPubb - Incarico diretto (art. 7 cpv. 3 lett. h)</t>
  </si>
  <si>
    <t>Edile secondario</t>
  </si>
  <si>
    <r>
      <t>LISTA DELLE COMMESSE CHE SUPERANO CHF 5'000.00 (IVA ESCLUSA) AGGIUDICATE SU INVITO O INCARICO DIRETTO</t>
    </r>
    <r>
      <rPr>
        <b/>
        <sz val="16"/>
        <color rgb="FFFFFF00"/>
        <rFont val="Arial"/>
        <family val="2"/>
      </rPr>
      <t xml:space="preserve">
</t>
    </r>
    <r>
      <rPr>
        <b/>
        <sz val="16"/>
        <rFont val="Arial"/>
        <family val="2"/>
      </rPr>
      <t>COMUNE DI RONCO SOPRA ASCONA – ANNO 2025</t>
    </r>
  </si>
  <si>
    <t>Edilie principale</t>
  </si>
  <si>
    <t>Data pubblicazione lista: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</si>
</sst>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6"/>
      <color rgb="FFFFFF0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Protection="1">
      <protection locked="0"/>
    </xf>
    <xf numFmtId="0" fontId="8" fillId="0" borderId="0" xfId="0" applyFont="1"/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4" fontId="2" fillId="0" borderId="4" xfId="0" applyNumberFormat="1" applyFont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vertical="top" wrapText="1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 applyProtection="1">
      <alignment horizontal="left" vertical="top" wrapText="1"/>
      <protection locked="0"/>
    </xf>
    <xf numFmtId="14" fontId="0" fillId="0" borderId="4" xfId="0" applyNumberFormat="1" applyBorder="1"/>
    <xf numFmtId="0" fontId="0" fillId="0" borderId="4" xfId="0" applyBorder="1"/>
    <xf numFmtId="4" fontId="0" fillId="0" borderId="4" xfId="0" applyNumberFormat="1" applyBorder="1"/>
  </cellXfs>
  <cellStyles count="1">
    <cellStyle name="Normale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146"/>
  <sheetViews>
    <sheetView tabSelected="1" view="pageLayout" topLeftCell="A116" zoomScale="70" zoomScaleNormal="100" zoomScalePageLayoutView="70" workbookViewId="0">
      <selection activeCell="C3" sqref="C3"/>
    </sheetView>
  </sheetViews>
  <sheetFormatPr defaultColWidth="9.140625" defaultRowHeight="16.5" x14ac:dyDescent="0.3"/>
  <cols>
    <col min="1" max="1" width="33.28515625" style="1" customWidth="1"/>
    <col min="2" max="2" width="16.5703125" style="1" customWidth="1"/>
    <col min="3" max="3" width="66.42578125" style="1" customWidth="1"/>
    <col min="4" max="4" width="16.5703125" style="1" customWidth="1"/>
    <col min="5" max="5" width="36.7109375" style="1" bestFit="1" customWidth="1"/>
    <col min="6" max="6" width="63.42578125" style="1" bestFit="1" customWidth="1"/>
    <col min="7" max="7" width="16.5703125" style="1" customWidth="1"/>
    <col min="8" max="8" width="9.140625" style="5" hidden="1" customWidth="1"/>
    <col min="9" max="16384" width="9.140625" style="1"/>
  </cols>
  <sheetData>
    <row r="7" spans="1:8" ht="41.25" customHeight="1" x14ac:dyDescent="0.3">
      <c r="A7" s="19" t="s">
        <v>14</v>
      </c>
      <c r="B7" s="20"/>
      <c r="C7" s="20"/>
      <c r="D7" s="20"/>
      <c r="E7" s="20"/>
      <c r="F7" s="20"/>
      <c r="G7" s="21"/>
      <c r="H7" s="1"/>
    </row>
    <row r="8" spans="1:8" x14ac:dyDescent="0.3">
      <c r="B8" s="2"/>
      <c r="C8" s="2"/>
      <c r="D8" s="3"/>
      <c r="E8" s="3"/>
      <c r="F8" s="3"/>
      <c r="G8" s="3"/>
    </row>
    <row r="9" spans="1:8" x14ac:dyDescent="0.3">
      <c r="B9" s="2"/>
      <c r="C9" s="2"/>
      <c r="D9" s="3"/>
      <c r="E9" s="3"/>
      <c r="F9" s="3"/>
      <c r="G9" s="3"/>
    </row>
    <row r="10" spans="1:8" s="4" customFormat="1" ht="15.75" x14ac:dyDescent="0.25">
      <c r="A10" s="4" t="s">
        <v>16</v>
      </c>
      <c r="B10" s="11"/>
      <c r="C10" s="8"/>
      <c r="D10" s="7"/>
      <c r="F10" s="8"/>
      <c r="G10" s="7"/>
      <c r="H10" s="6"/>
    </row>
    <row r="12" spans="1:8" ht="33" x14ac:dyDescent="0.3">
      <c r="A12" s="9" t="s">
        <v>10</v>
      </c>
      <c r="B12" s="9" t="s">
        <v>3</v>
      </c>
      <c r="C12" s="9" t="s">
        <v>5</v>
      </c>
      <c r="D12" s="9" t="s">
        <v>6</v>
      </c>
      <c r="E12" s="9" t="s">
        <v>4</v>
      </c>
      <c r="F12" s="10" t="s">
        <v>7</v>
      </c>
      <c r="G12" s="9" t="s">
        <v>8</v>
      </c>
    </row>
    <row r="13" spans="1:8" s="13" customFormat="1" ht="31.5" customHeight="1" x14ac:dyDescent="0.25">
      <c r="A13" s="14" t="s">
        <v>11</v>
      </c>
      <c r="B13" s="23">
        <v>45845</v>
      </c>
      <c r="C13" s="24" t="str">
        <f>"Nuovo impianto di disinfezione a norma SIA,  piscina Colle San Marco"</f>
        <v>Nuovo impianto di disinfezione a norma SIA,  piscina Colle San Marco</v>
      </c>
      <c r="D13" s="16" t="s">
        <v>1</v>
      </c>
      <c r="E13" s="16" t="s">
        <v>12</v>
      </c>
      <c r="F13" s="24" t="str">
        <f>"Acqualife Relax &amp; Wellness Sagl Via Mappo 13 6598 Tenero"</f>
        <v>Acqualife Relax &amp; Wellness Sagl Via Mappo 13 6598 Tenero</v>
      </c>
      <c r="G13" s="25">
        <v>5420.95</v>
      </c>
      <c r="H13" s="12" t="e">
        <f>CONCATENATE(D13,#REF!,E13)</f>
        <v>#REF!</v>
      </c>
    </row>
    <row r="14" spans="1:8" s="13" customFormat="1" ht="31.5" customHeight="1" x14ac:dyDescent="0.25">
      <c r="A14" s="14" t="s">
        <v>11</v>
      </c>
      <c r="B14" s="23">
        <v>45776</v>
      </c>
      <c r="C14" s="24" t="str">
        <f>"1.acconto copertura piscina Colle San Marco"</f>
        <v>1.acconto copertura piscina Colle San Marco</v>
      </c>
      <c r="D14" s="16" t="s">
        <v>1</v>
      </c>
      <c r="E14" s="16" t="s">
        <v>12</v>
      </c>
      <c r="F14" s="24" t="str">
        <f>"Acqualife Relax &amp; Wellness Sagl Via Mappo 13 6598 Tenero"</f>
        <v>Acqualife Relax &amp; Wellness Sagl Via Mappo 13 6598 Tenero</v>
      </c>
      <c r="G14" s="25">
        <v>5200</v>
      </c>
      <c r="H14" s="12" t="e">
        <f>CONCATENATE(D14,#REF!,E14)</f>
        <v>#REF!</v>
      </c>
    </row>
    <row r="15" spans="1:8" s="13" customFormat="1" ht="31.5" customHeight="1" x14ac:dyDescent="0.25">
      <c r="A15" s="14" t="s">
        <v>11</v>
      </c>
      <c r="B15" s="23">
        <v>45897</v>
      </c>
      <c r="C15" s="24" t="str">
        <f>"5.acconto DL rifacimento sopra e sottostruttura  Via Fontana Martina"</f>
        <v>5.acconto DL rifacimento sopra e sottostruttura  Via Fontana Martina</v>
      </c>
      <c r="D15" s="16" t="s">
        <v>2</v>
      </c>
      <c r="E15" s="16" t="s">
        <v>12</v>
      </c>
      <c r="F15" s="15" t="str">
        <f t="shared" ref="F15:F16" si="0">"Andreotti &amp; Partners SA Studio ingegneria Via Varenna 2 6601 Locarno"</f>
        <v>Andreotti &amp; Partners SA Studio ingegneria Via Varenna 2 6601 Locarno</v>
      </c>
      <c r="G15" s="25">
        <v>8204.7999999999993</v>
      </c>
      <c r="H15" s="12" t="e">
        <f>CONCATENATE(D15,#REF!,E15)</f>
        <v>#REF!</v>
      </c>
    </row>
    <row r="16" spans="1:8" s="13" customFormat="1" ht="31.5" customHeight="1" x14ac:dyDescent="0.25">
      <c r="A16" s="14" t="s">
        <v>11</v>
      </c>
      <c r="B16" s="23">
        <v>45729</v>
      </c>
      <c r="C16" s="24" t="str">
        <f>"TAG 2024"</f>
        <v>TAG 2024</v>
      </c>
      <c r="D16" s="16" t="s">
        <v>2</v>
      </c>
      <c r="E16" s="16" t="s">
        <v>12</v>
      </c>
      <c r="F16" s="15" t="str">
        <f t="shared" si="0"/>
        <v>Andreotti &amp; Partners SA Studio ingegneria Via Varenna 2 6601 Locarno</v>
      </c>
      <c r="G16" s="25">
        <v>11119</v>
      </c>
      <c r="H16" s="12"/>
    </row>
    <row r="17" spans="1:8" s="13" customFormat="1" ht="31.5" customHeight="1" x14ac:dyDescent="0.25">
      <c r="A17" s="14" t="s">
        <v>11</v>
      </c>
      <c r="B17" s="23">
        <v>45810</v>
      </c>
      <c r="C17" s="24" t="str">
        <f>"Saldo impianto Swisslift - nuovo magazzino  comunale"</f>
        <v>Saldo impianto Swisslift - nuovo magazzino  comunale</v>
      </c>
      <c r="D17" s="16" t="s">
        <v>1</v>
      </c>
      <c r="E17" s="16" t="s">
        <v>12</v>
      </c>
      <c r="F17" s="15" t="str">
        <f>"AS Ascensori SA Via San Gottardo 24 a 6532 Castione"</f>
        <v>AS Ascensori SA Via San Gottardo 24 a 6532 Castione</v>
      </c>
      <c r="G17" s="25">
        <v>32538.1</v>
      </c>
      <c r="H17" s="12"/>
    </row>
    <row r="18" spans="1:8" s="13" customFormat="1" ht="31.5" customHeight="1" x14ac:dyDescent="0.25">
      <c r="A18" s="14" t="s">
        <v>11</v>
      </c>
      <c r="B18" s="23">
        <v>46010</v>
      </c>
      <c r="C18" s="24" t="str">
        <f>"Manutenzione 2025 strada forestale  Corona dei Pinci"</f>
        <v>Manutenzione 2025 strada forestale  Corona dei Pinci</v>
      </c>
      <c r="D18" s="16" t="s">
        <v>13</v>
      </c>
      <c r="E18" s="16" t="s">
        <v>12</v>
      </c>
      <c r="F18" s="15" t="str">
        <f>"Azienda Forestale Losone Patriziato di Losone 6616 Losone"</f>
        <v>Azienda Forestale Losone Patriziato di Losone 6616 Losone</v>
      </c>
      <c r="G18" s="25">
        <v>15118.85</v>
      </c>
      <c r="H18" s="12" t="e">
        <f>CONCATENATE(D18,#REF!,E18)</f>
        <v>#REF!</v>
      </c>
    </row>
    <row r="19" spans="1:8" s="13" customFormat="1" ht="31.5" customHeight="1" x14ac:dyDescent="0.25">
      <c r="A19" s="14" t="s">
        <v>11</v>
      </c>
      <c r="B19" s="23">
        <v>45765</v>
      </c>
      <c r="C19" s="24" t="str">
        <f>"Onorario prestazioni progetto premunizione  contro la caduta sassi - zona a monte paese"</f>
        <v>Onorario prestazioni progetto premunizione  contro la caduta sassi - zona a monte paese</v>
      </c>
      <c r="D19" s="16" t="s">
        <v>2</v>
      </c>
      <c r="E19" s="16" t="s">
        <v>12</v>
      </c>
      <c r="F19" s="15" t="str">
        <f>"Baumer Dr. SA Geologi consulenti Via Locarno 60 6612 Ascona"</f>
        <v>Baumer Dr. SA Geologi consulenti Via Locarno 60 6612 Ascona</v>
      </c>
      <c r="G19" s="25">
        <v>62740</v>
      </c>
      <c r="H19" s="12"/>
    </row>
    <row r="20" spans="1:8" s="13" customFormat="1" ht="31.5" customHeight="1" x14ac:dyDescent="0.25">
      <c r="A20" s="14" t="s">
        <v>11</v>
      </c>
      <c r="B20" s="23">
        <v>45840</v>
      </c>
      <c r="C20" s="24" t="str">
        <f>"Consulenza, caduta sassi 28.01.25 Via G.Madonna,  parete rocciosa instabile mapp. 1701"</f>
        <v>Consulenza, caduta sassi 28.01.25 Via G.Madonna,  parete rocciosa instabile mapp. 1701</v>
      </c>
      <c r="D20" s="17" t="s">
        <v>2</v>
      </c>
      <c r="E20" s="16" t="s">
        <v>12</v>
      </c>
      <c r="F20" s="15" t="str">
        <f>"Baumer Dr. SA Geologi consulenti Via Locarno 60 6612 Ascona"</f>
        <v>Baumer Dr. SA Geologi consulenti Via Locarno 60 6612 Ascona</v>
      </c>
      <c r="G20" s="25">
        <v>7070</v>
      </c>
      <c r="H20" s="12"/>
    </row>
    <row r="21" spans="1:8" s="13" customFormat="1" ht="31.5" customHeight="1" x14ac:dyDescent="0.25">
      <c r="A21" s="14" t="s">
        <v>11</v>
      </c>
      <c r="B21" s="23">
        <v>45870</v>
      </c>
      <c r="C21" s="24" t="str">
        <f>"Progetto risanamento energetico e ristrutturazione  palazzo comunale"</f>
        <v>Progetto risanamento energetico e ristrutturazione  palazzo comunale</v>
      </c>
      <c r="D21" s="16" t="s">
        <v>2</v>
      </c>
      <c r="E21" s="16" t="s">
        <v>12</v>
      </c>
      <c r="F21" s="24" t="str">
        <f>"Bazialli + associati sagl  Studio d'architettura Via A.Franzoni 37 6600 Locarno"</f>
        <v>Bazialli + associati sagl  Studio d'architettura Via A.Franzoni 37 6600 Locarno</v>
      </c>
      <c r="G21" s="25">
        <v>15944.75</v>
      </c>
      <c r="H21" s="12"/>
    </row>
    <row r="22" spans="1:8" s="13" customFormat="1" ht="31.5" customHeight="1" x14ac:dyDescent="0.25">
      <c r="A22" s="14" t="s">
        <v>11</v>
      </c>
      <c r="B22" s="23">
        <v>45733</v>
      </c>
      <c r="C22" s="24" t="str">
        <f>"Fattura a saldo diverse consulenze 2016-2024  risan. edifici, Alpe Casone, mapp. 1/2/3 RFD"</f>
        <v>Fattura a saldo diverse consulenze 2016-2024  risan. edifici, Alpe Casone, mapp. 1/2/3 RFD</v>
      </c>
      <c r="D22" s="16" t="s">
        <v>2</v>
      </c>
      <c r="E22" s="16" t="s">
        <v>9</v>
      </c>
      <c r="F22" s="24" t="str">
        <f>"Bazialli + associati sagl  Studio d'architettura Via A.Franzoni 37 6600 Locarno"</f>
        <v>Bazialli + associati sagl  Studio d'architettura Via A.Franzoni 37 6600 Locarno</v>
      </c>
      <c r="G22" s="25">
        <v>14599.3</v>
      </c>
      <c r="H22" s="12"/>
    </row>
    <row r="23" spans="1:8" s="13" customFormat="1" ht="31.5" customHeight="1" x14ac:dyDescent="0.25">
      <c r="A23" s="14" t="s">
        <v>11</v>
      </c>
      <c r="B23" s="23">
        <v>46022</v>
      </c>
      <c r="C23" s="24" t="str">
        <f>"Potature e trattamenti, siepi, palme e stagno 2025"</f>
        <v>Potature e trattamenti, siepi, palme e stagno 2025</v>
      </c>
      <c r="D23" s="16" t="s">
        <v>13</v>
      </c>
      <c r="E23" s="16" t="s">
        <v>9</v>
      </c>
      <c r="F23" s="15" t="str">
        <f>"Bette' Cesare 6622 Ronco s/Ascona"</f>
        <v>Bette' Cesare 6622 Ronco s/Ascona</v>
      </c>
      <c r="G23" s="25">
        <v>9985.2999999999993</v>
      </c>
      <c r="H23" s="12"/>
    </row>
    <row r="24" spans="1:8" s="13" customFormat="1" ht="31.5" customHeight="1" x14ac:dyDescent="0.25">
      <c r="A24" s="14" t="s">
        <v>11</v>
      </c>
      <c r="B24" s="23">
        <v>45744</v>
      </c>
      <c r="C24" s="24" t="str">
        <f>"Potature e trattamentil, siepi, palme e stagno  2024"</f>
        <v>Potature e trattamentil, siepi, palme e stagno  2024</v>
      </c>
      <c r="D24" s="16" t="s">
        <v>13</v>
      </c>
      <c r="E24" s="16" t="s">
        <v>9</v>
      </c>
      <c r="F24" s="15" t="str">
        <f>"Bette' Cesare 6622 Ronco s/Ascona"</f>
        <v>Bette' Cesare 6622 Ronco s/Ascona</v>
      </c>
      <c r="G24" s="25">
        <v>11785.65</v>
      </c>
      <c r="H24" s="12"/>
    </row>
    <row r="25" spans="1:8" s="13" customFormat="1" ht="31.5" customHeight="1" x14ac:dyDescent="0.25">
      <c r="A25" s="14" t="s">
        <v>11</v>
      </c>
      <c r="B25" s="23">
        <v>45735</v>
      </c>
      <c r="C25" s="24" t="str">
        <f>"4.acconto - opere da gessatore nuovo magazzino  comunale"</f>
        <v>4.acconto - opere da gessatore nuovo magazzino  comunale</v>
      </c>
      <c r="D25" s="16" t="s">
        <v>2</v>
      </c>
      <c r="E25" s="16" t="s">
        <v>9</v>
      </c>
      <c r="F25" s="15" t="str">
        <f>"Bonifacio Gipsergeschäft Via Al Ticino 13 6514 Sementina"</f>
        <v>Bonifacio Gipsergeschäft Via Al Ticino 13 6514 Sementina</v>
      </c>
      <c r="G25" s="25">
        <v>15000</v>
      </c>
      <c r="H25" s="12"/>
    </row>
    <row r="26" spans="1:8" s="13" customFormat="1" ht="31.5" customHeight="1" x14ac:dyDescent="0.25">
      <c r="A26" s="14" t="s">
        <v>11</v>
      </c>
      <c r="B26" s="23">
        <v>45667</v>
      </c>
      <c r="C26" s="24" t="str">
        <f>"3.acconto - opere da gessatore nuovo magazzino  comunale"</f>
        <v>3.acconto - opere da gessatore nuovo magazzino  comunale</v>
      </c>
      <c r="D26" s="16" t="s">
        <v>2</v>
      </c>
      <c r="E26" s="16" t="s">
        <v>9</v>
      </c>
      <c r="F26" s="15" t="str">
        <f>"Bonifacio Gipsergeschäft Via Al Ticino 13 6514 Sementina"</f>
        <v>Bonifacio Gipsergeschäft Via Al Ticino 13 6514 Sementina</v>
      </c>
      <c r="G26" s="25">
        <v>10000</v>
      </c>
      <c r="H26" s="12"/>
    </row>
    <row r="27" spans="1:8" s="13" customFormat="1" ht="31.5" customHeight="1" x14ac:dyDescent="0.25">
      <c r="A27" s="14" t="s">
        <v>11</v>
      </c>
      <c r="B27" s="23">
        <v>45839</v>
      </c>
      <c r="C27" s="24" t="str">
        <f>"Saldo - opere da gessatore nuovo magazzino  comunale"</f>
        <v>Saldo - opere da gessatore nuovo magazzino  comunale</v>
      </c>
      <c r="D27" s="16" t="s">
        <v>2</v>
      </c>
      <c r="E27" s="16" t="s">
        <v>9</v>
      </c>
      <c r="F27" s="15" t="str">
        <f>"Bonifacio Gipsergeschäft Via Al Ticino 13 6514 Sementina"</f>
        <v>Bonifacio Gipsergeschäft Via Al Ticino 13 6514 Sementina</v>
      </c>
      <c r="G27" s="25">
        <v>6972.7</v>
      </c>
      <c r="H27" s="12"/>
    </row>
    <row r="28" spans="1:8" s="13" customFormat="1" ht="31.5" customHeight="1" x14ac:dyDescent="0.25">
      <c r="A28" s="14" t="s">
        <v>11</v>
      </c>
      <c r="B28" s="23">
        <v>45890</v>
      </c>
      <c r="C28" s="24" t="str">
        <f>"7.acc. direzione lavori, controllo fatture,  tabella pagamenti - nuovo magazzino comunale"</f>
        <v>7.acc. direzione lavori, controllo fatture,  tabella pagamenti - nuovo magazzino comunale</v>
      </c>
      <c r="D28" s="16" t="s">
        <v>2</v>
      </c>
      <c r="E28" s="16" t="s">
        <v>9</v>
      </c>
      <c r="F28" s="15" t="str">
        <f>"Bretscher Giorgio Via ai Monti  33 6622 Ronco sopra Ascona"</f>
        <v>Bretscher Giorgio Via ai Monti  33 6622 Ronco sopra Ascona</v>
      </c>
      <c r="G28" s="25">
        <v>5405</v>
      </c>
      <c r="H28" s="12"/>
    </row>
    <row r="29" spans="1:8" s="13" customFormat="1" ht="31.5" customHeight="1" x14ac:dyDescent="0.25">
      <c r="A29" s="14" t="s">
        <v>11</v>
      </c>
      <c r="B29" s="23">
        <v>45777</v>
      </c>
      <c r="C29" s="24" t="str">
        <f>"5.acc. direzione lavori, controllo fatture,  tabella pagamenti - nuovo magazzino comunale"</f>
        <v>5.acc. direzione lavori, controllo fatture,  tabella pagamenti - nuovo magazzino comunale</v>
      </c>
      <c r="D29" s="16" t="s">
        <v>2</v>
      </c>
      <c r="E29" s="16" t="s">
        <v>12</v>
      </c>
      <c r="F29" s="15" t="str">
        <f>"Bretscher Giorgio Via ai Monti  33 6622 Ronco sopra Ascona"</f>
        <v>Bretscher Giorgio Via ai Monti  33 6622 Ronco sopra Ascona</v>
      </c>
      <c r="G29" s="25">
        <v>5405</v>
      </c>
      <c r="H29" s="12"/>
    </row>
    <row r="30" spans="1:8" s="13" customFormat="1" ht="31.5" customHeight="1" x14ac:dyDescent="0.25">
      <c r="A30" s="14" t="s">
        <v>11</v>
      </c>
      <c r="B30" s="23">
        <v>45684</v>
      </c>
      <c r="C30" s="24" t="str">
        <f>"4.acc. direzione lavori, controllo fatture,  tabella pagamenti - nuovo magazzino comunale"</f>
        <v>4.acc. direzione lavori, controllo fatture,  tabella pagamenti - nuovo magazzino comunale</v>
      </c>
      <c r="D30" s="16" t="s">
        <v>2</v>
      </c>
      <c r="E30" s="16" t="s">
        <v>9</v>
      </c>
      <c r="F30" s="15" t="str">
        <f>"Bretscher Giorgio Via ai Monti  33 6622 Ronco sopra Ascona"</f>
        <v>Bretscher Giorgio Via ai Monti  33 6622 Ronco sopra Ascona</v>
      </c>
      <c r="G30" s="25">
        <v>5405</v>
      </c>
      <c r="H30" s="12"/>
    </row>
    <row r="31" spans="1:8" s="13" customFormat="1" ht="31.5" customHeight="1" x14ac:dyDescent="0.25">
      <c r="A31" s="14" t="s">
        <v>11</v>
      </c>
      <c r="B31" s="23">
        <v>45853</v>
      </c>
      <c r="C31" s="24" t="str">
        <f>"6.acc. direzione lavori, controllo fatture,  tabella pagamenti - nuovo magazzino comunale"</f>
        <v>6.acc. direzione lavori, controllo fatture,  tabella pagamenti - nuovo magazzino comunale</v>
      </c>
      <c r="D31" s="16" t="s">
        <v>2</v>
      </c>
      <c r="E31" s="16" t="s">
        <v>12</v>
      </c>
      <c r="F31" s="15" t="str">
        <f>"Bretscher Giorgio Via ai Monti  33 6622 Ronco sopra Ascona"</f>
        <v>Bretscher Giorgio Via ai Monti  33 6622 Ronco sopra Ascona</v>
      </c>
      <c r="G31" s="25">
        <v>5405</v>
      </c>
      <c r="H31" s="12"/>
    </row>
    <row r="32" spans="1:8" s="13" customFormat="1" ht="31.5" customHeight="1" x14ac:dyDescent="0.25">
      <c r="A32" s="14" t="s">
        <v>11</v>
      </c>
      <c r="B32" s="23">
        <v>46022</v>
      </c>
      <c r="C32" s="24" t="str">
        <f>"Gestione bike sharing 2025"</f>
        <v>Gestione bike sharing 2025</v>
      </c>
      <c r="D32" s="18" t="s">
        <v>2</v>
      </c>
      <c r="E32" s="16" t="s">
        <v>9</v>
      </c>
      <c r="F32" s="24" t="str">
        <f>"CASSA COMUNALE di Locarno  6600 Locarno"</f>
        <v>CASSA COMUNALE di Locarno  6600 Locarno</v>
      </c>
      <c r="G32" s="25">
        <v>7166</v>
      </c>
      <c r="H32" s="12"/>
    </row>
    <row r="33" spans="1:8" s="13" customFormat="1" ht="31.5" customHeight="1" x14ac:dyDescent="0.25">
      <c r="A33" s="14" t="s">
        <v>11</v>
      </c>
      <c r="B33" s="23">
        <v>45660</v>
      </c>
      <c r="C33" s="24" t="str">
        <f>"Fornitura mobilio nuovo ufficio UTC"</f>
        <v>Fornitura mobilio nuovo ufficio UTC</v>
      </c>
      <c r="D33" s="18" t="s">
        <v>1</v>
      </c>
      <c r="E33" s="16" t="s">
        <v>12</v>
      </c>
      <c r="F33" s="24" t="str">
        <f>"Castellani &amp; Cavalli SA Via Varenna 5 6600 Locarno"</f>
        <v>Castellani &amp; Cavalli SA Via Varenna 5 6600 Locarno</v>
      </c>
      <c r="G33" s="25">
        <v>30217.95</v>
      </c>
      <c r="H33" s="12"/>
    </row>
    <row r="34" spans="1:8" s="13" customFormat="1" ht="31.5" customHeight="1" x14ac:dyDescent="0.25">
      <c r="A34" s="14" t="s">
        <v>11</v>
      </c>
      <c r="B34" s="23">
        <v>45755</v>
      </c>
      <c r="C34" s="24" t="str">
        <f>"Lavaggio e ispezione canalizzazione in via  Livurcio"</f>
        <v>Lavaggio e ispezione canalizzazione in via  Livurcio</v>
      </c>
      <c r="D34" s="18" t="s">
        <v>13</v>
      </c>
      <c r="E34" s="16" t="s">
        <v>12</v>
      </c>
      <c r="F34" s="24" t="str">
        <f>"Caviezel Canalizzazioni SA Via Mondette 6572 Quartino"</f>
        <v>Caviezel Canalizzazioni SA Via Mondette 6572 Quartino</v>
      </c>
      <c r="G34" s="25">
        <v>7296.55</v>
      </c>
      <c r="H34" s="12"/>
    </row>
    <row r="35" spans="1:8" s="13" customFormat="1" ht="31.5" customHeight="1" x14ac:dyDescent="0.25">
      <c r="A35" s="14" t="s">
        <v>11</v>
      </c>
      <c r="B35" s="23">
        <v>45681</v>
      </c>
      <c r="C35" s="24" t="str">
        <f>"Acquisto nuova stampante Sharp BP70C31CH  per ufficio tecnico"</f>
        <v>Acquisto nuova stampante Sharp BP70C31CH  per ufficio tecnico</v>
      </c>
      <c r="D35" s="18" t="s">
        <v>1</v>
      </c>
      <c r="E35" s="16" t="s">
        <v>9</v>
      </c>
      <c r="F35" s="24" t="str">
        <f>"CHC Business Solutions SA Via Luganetto 2 6962 Viganello"</f>
        <v>CHC Business Solutions SA Via Luganetto 2 6962 Viganello</v>
      </c>
      <c r="G35" s="25">
        <v>7408.1</v>
      </c>
      <c r="H35" s="12"/>
    </row>
    <row r="36" spans="1:8" s="13" customFormat="1" ht="31.5" customHeight="1" x14ac:dyDescent="0.25">
      <c r="A36" s="14" t="s">
        <v>11</v>
      </c>
      <c r="B36" s="23">
        <v>45753</v>
      </c>
      <c r="C36" s="24" t="str">
        <f>"Sfalcio annuale Maschinenweg autunno/inverno  2024"</f>
        <v>Sfalcio annuale Maschinenweg autunno/inverno  2024</v>
      </c>
      <c r="D36" s="18" t="s">
        <v>2</v>
      </c>
      <c r="E36" s="16" t="s">
        <v>9</v>
      </c>
      <c r="F36" s="15" t="str">
        <f>"Chiappini Legno Foresta Sagl Via Valmara 2 6614 Brissago"</f>
        <v>Chiappini Legno Foresta Sagl Via Valmara 2 6614 Brissago</v>
      </c>
      <c r="G36" s="25">
        <v>6486</v>
      </c>
      <c r="H36" s="12"/>
    </row>
    <row r="37" spans="1:8" s="13" customFormat="1" ht="31.5" customHeight="1" x14ac:dyDescent="0.25">
      <c r="A37" s="14" t="s">
        <v>11</v>
      </c>
      <c r="B37" s="23">
        <v>45853</v>
      </c>
      <c r="C37" s="24" t="str">
        <f>"Saldo lavori preparazione capitolati d'offerta  e richieste offerta - nuovo magazzino comunale"</f>
        <v>Saldo lavori preparazione capitolati d'offerta  e richieste offerta - nuovo magazzino comunale</v>
      </c>
      <c r="D37" s="18" t="s">
        <v>2</v>
      </c>
      <c r="E37" s="16" t="s">
        <v>12</v>
      </c>
      <c r="F37" s="15" t="str">
        <f>"Colombo Studio tecnico SAGL Via dei Pioppi 10 6616 Losone"</f>
        <v>Colombo Studio tecnico SAGL Via dei Pioppi 10 6616 Losone</v>
      </c>
      <c r="G37" s="25">
        <v>5325</v>
      </c>
      <c r="H37" s="12"/>
    </row>
    <row r="38" spans="1:8" s="13" customFormat="1" ht="31.5" customHeight="1" x14ac:dyDescent="0.25">
      <c r="A38" s="14" t="s">
        <v>11</v>
      </c>
      <c r="B38" s="23">
        <v>45684</v>
      </c>
      <c r="C38" s="24" t="str">
        <f>"4.acconto preparazione capitolati d'offerta  e richieste offerta - nuovo magazzino comunale"</f>
        <v>4.acconto preparazione capitolati d'offerta  e richieste offerta - nuovo magazzino comunale</v>
      </c>
      <c r="D38" s="18" t="s">
        <v>2</v>
      </c>
      <c r="E38" s="16" t="s">
        <v>12</v>
      </c>
      <c r="F38" s="15" t="str">
        <f>"Colombo Studio tecnico SAGL Via dei Pioppi 10 6616 Losone"</f>
        <v>Colombo Studio tecnico SAGL Via dei Pioppi 10 6616 Losone</v>
      </c>
      <c r="G38" s="25">
        <v>5405</v>
      </c>
      <c r="H38" s="12"/>
    </row>
    <row r="39" spans="1:8" s="13" customFormat="1" ht="31.5" customHeight="1" x14ac:dyDescent="0.25">
      <c r="A39" s="14" t="s">
        <v>11</v>
      </c>
      <c r="B39" s="23">
        <v>45756</v>
      </c>
      <c r="C39" s="24" t="str">
        <f>"Nuovo tracciato Parcassone"</f>
        <v>Nuovo tracciato Parcassone</v>
      </c>
      <c r="D39" s="18" t="s">
        <v>0</v>
      </c>
      <c r="E39" s="16" t="s">
        <v>9</v>
      </c>
      <c r="F39" s="24" t="str">
        <f>"Comal.ch Via al Colle 2 6833 Vacallo"</f>
        <v>Comal.ch Via al Colle 2 6833 Vacallo</v>
      </c>
      <c r="G39" s="25">
        <v>9188.5</v>
      </c>
      <c r="H39" s="12"/>
    </row>
    <row r="40" spans="1:8" s="13" customFormat="1" ht="31.5" customHeight="1" x14ac:dyDescent="0.25">
      <c r="A40" s="14" t="s">
        <v>11</v>
      </c>
      <c r="B40" s="23">
        <v>45734</v>
      </c>
      <c r="C40" s="24" t="str">
        <f>"Contributo progettazione rete ciclabile collinare"</f>
        <v>Contributo progettazione rete ciclabile collinare</v>
      </c>
      <c r="D40" s="18" t="s">
        <v>2</v>
      </c>
      <c r="E40" s="16" t="s">
        <v>12</v>
      </c>
      <c r="F40" s="15" t="str">
        <f>"Comune di Brissago Cassa Comunale 6614 Brissago"</f>
        <v>Comune di Brissago Cassa Comunale 6614 Brissago</v>
      </c>
      <c r="G40" s="25">
        <v>9000</v>
      </c>
      <c r="H40" s="12"/>
    </row>
    <row r="41" spans="1:8" s="13" customFormat="1" ht="31.5" customHeight="1" x14ac:dyDescent="0.25">
      <c r="A41" s="14" t="s">
        <v>11</v>
      </c>
      <c r="B41" s="23">
        <v>45985</v>
      </c>
      <c r="C41" s="24" t="str">
        <f>"Comunicazione e supporti informativi  Parco Colle San Marco"</f>
        <v>Comunicazione e supporti informativi  Parco Colle San Marco</v>
      </c>
      <c r="D41" s="18" t="s">
        <v>2</v>
      </c>
      <c r="E41" s="16" t="s">
        <v>12</v>
      </c>
      <c r="F41" s="24" t="str">
        <f>"Consultati SA Via Bicentenario 3 6807 Taverne"</f>
        <v>Consultati SA Via Bicentenario 3 6807 Taverne</v>
      </c>
      <c r="G41" s="25">
        <v>5600</v>
      </c>
      <c r="H41" s="12"/>
    </row>
    <row r="42" spans="1:8" s="13" customFormat="1" ht="31.5" customHeight="1" x14ac:dyDescent="0.25">
      <c r="A42" s="14" t="s">
        <v>11</v>
      </c>
      <c r="B42" s="23">
        <v>45989</v>
      </c>
      <c r="C42" s="24" t="str">
        <f>"Allestimento piano finanziario 2025-2030  Comune e Acap"</f>
        <v>Allestimento piano finanziario 2025-2030  Comune e Acap</v>
      </c>
      <c r="D42" s="18" t="s">
        <v>2</v>
      </c>
      <c r="E42" s="16" t="s">
        <v>9</v>
      </c>
      <c r="F42" s="24" t="str">
        <f>"CSSB Consulenze Sagl Via Gunels 14 7512 Champfer"</f>
        <v>CSSB Consulenze Sagl Via Gunels 14 7512 Champfer</v>
      </c>
      <c r="G42" s="25">
        <v>9275</v>
      </c>
      <c r="H42" s="12"/>
    </row>
    <row r="43" spans="1:8" s="13" customFormat="1" ht="31.5" customHeight="1" x14ac:dyDescent="0.25">
      <c r="A43" s="14" t="s">
        <v>11</v>
      </c>
      <c r="B43" s="23">
        <v>45798</v>
      </c>
      <c r="C43" s="24" t="str">
        <f>"Acquisto di 3 nuovi parchimetri, zona Ombrellino,  piazza della Madonna e Porto Ronco"</f>
        <v>Acquisto di 3 nuovi parchimetri, zona Ombrellino,  piazza della Madonna e Porto Ronco</v>
      </c>
      <c r="D43" s="18" t="s">
        <v>1</v>
      </c>
      <c r="E43" s="16" t="s">
        <v>12</v>
      </c>
      <c r="F43" s="15" t="str">
        <f>"Digitalparking AG Bernstrasse 388 8953 Dietikon"</f>
        <v>Digitalparking AG Bernstrasse 388 8953 Dietikon</v>
      </c>
      <c r="G43" s="25">
        <v>19606.5</v>
      </c>
      <c r="H43" s="12"/>
    </row>
    <row r="44" spans="1:8" s="13" customFormat="1" ht="31.5" customHeight="1" x14ac:dyDescent="0.25">
      <c r="A44" s="14" t="s">
        <v>11</v>
      </c>
      <c r="B44" s="23">
        <v>45660</v>
      </c>
      <c r="C44" s="24" t="str">
        <f>"Contratto assistenza 2025, parchimetri,porto Ronco  Via Livurcio, Via Rupe, Via Barcone, Via G.Madonna"</f>
        <v>Contratto assistenza 2025, parchimetri,porto Ronco  Via Livurcio, Via Rupe, Via Barcone, Via G.Madonna</v>
      </c>
      <c r="D44" s="18" t="s">
        <v>1</v>
      </c>
      <c r="E44" s="16" t="s">
        <v>9</v>
      </c>
      <c r="F44" s="15" t="str">
        <f>"Digitalparking AG Bernstrasse 388 8953 Dietikon"</f>
        <v>Digitalparking AG Bernstrasse 388 8953 Dietikon</v>
      </c>
      <c r="G44" s="25">
        <v>11145.1</v>
      </c>
      <c r="H44" s="12"/>
    </row>
    <row r="45" spans="1:8" s="13" customFormat="1" ht="31.5" customHeight="1" x14ac:dyDescent="0.25">
      <c r="A45" s="14" t="s">
        <v>11</v>
      </c>
      <c r="B45" s="23">
        <v>45908</v>
      </c>
      <c r="C45" s="24" t="str">
        <f>"Consulenza UTC prestazioni lug. - ago. 2025"</f>
        <v>Consulenza UTC prestazioni lug. - ago. 2025</v>
      </c>
      <c r="D45" s="18" t="s">
        <v>2</v>
      </c>
      <c r="E45" s="16" t="s">
        <v>9</v>
      </c>
      <c r="F45" s="15" t="str">
        <f t="shared" ref="F45:F50" si="1">"Domenighetti - Bignasca &amp; Associati SA Casella postale 427 6600 Muralto"</f>
        <v>Domenighetti - Bignasca &amp; Associati SA Casella postale 427 6600 Muralto</v>
      </c>
      <c r="G45" s="25">
        <v>8603.7000000000007</v>
      </c>
      <c r="H45" s="12"/>
    </row>
    <row r="46" spans="1:8" s="13" customFormat="1" ht="31.5" customHeight="1" x14ac:dyDescent="0.25">
      <c r="A46" s="14" t="s">
        <v>11</v>
      </c>
      <c r="B46" s="23">
        <v>45721</v>
      </c>
      <c r="C46" s="24" t="str">
        <f>"Consulenza UTC prestazioni febbraio 2025"</f>
        <v>Consulenza UTC prestazioni febbraio 2025</v>
      </c>
      <c r="D46" s="18" t="s">
        <v>2</v>
      </c>
      <c r="E46" s="16" t="s">
        <v>9</v>
      </c>
      <c r="F46" s="15" t="str">
        <f t="shared" si="1"/>
        <v>Domenighetti - Bignasca &amp; Associati SA Casella postale 427 6600 Muralto</v>
      </c>
      <c r="G46" s="25">
        <v>6865.45</v>
      </c>
      <c r="H46" s="12"/>
    </row>
    <row r="47" spans="1:8" s="13" customFormat="1" ht="31.5" customHeight="1" x14ac:dyDescent="0.25">
      <c r="A47" s="14" t="s">
        <v>11</v>
      </c>
      <c r="B47" s="23">
        <v>46021</v>
      </c>
      <c r="C47" s="24" t="str">
        <f>"Consulenza UTC prestazioni nov. - dic. 2025"</f>
        <v>Consulenza UTC prestazioni nov. - dic. 2025</v>
      </c>
      <c r="D47" s="18" t="s">
        <v>2</v>
      </c>
      <c r="E47" s="16" t="s">
        <v>9</v>
      </c>
      <c r="F47" s="15" t="str">
        <f t="shared" si="1"/>
        <v>Domenighetti - Bignasca &amp; Associati SA Casella postale 427 6600 Muralto</v>
      </c>
      <c r="G47" s="25">
        <v>8310.2000000000007</v>
      </c>
      <c r="H47" s="12"/>
    </row>
    <row r="48" spans="1:8" s="13" customFormat="1" ht="31.5" customHeight="1" x14ac:dyDescent="0.25">
      <c r="A48" s="14" t="s">
        <v>11</v>
      </c>
      <c r="B48" s="23">
        <v>45848</v>
      </c>
      <c r="C48" s="24" t="str">
        <f>"Consulenza UTC prestazioni maggio - giugno 2025"</f>
        <v>Consulenza UTC prestazioni maggio - giugno 2025</v>
      </c>
      <c r="D48" s="18" t="s">
        <v>2</v>
      </c>
      <c r="E48" s="16" t="s">
        <v>9</v>
      </c>
      <c r="F48" s="15" t="str">
        <f t="shared" si="1"/>
        <v>Domenighetti - Bignasca &amp; Associati SA Casella postale 427 6600 Muralto</v>
      </c>
      <c r="G48" s="25">
        <v>5551.5</v>
      </c>
      <c r="H48" s="12"/>
    </row>
    <row r="49" spans="1:8" s="13" customFormat="1" ht="31.5" customHeight="1" x14ac:dyDescent="0.25">
      <c r="A49" s="14" t="s">
        <v>11</v>
      </c>
      <c r="B49" s="23">
        <v>45779</v>
      </c>
      <c r="C49" s="24" t="str">
        <f>"Consulenza UTC prestazioni marzo-aprile 2025"</f>
        <v>Consulenza UTC prestazioni marzo-aprile 2025</v>
      </c>
      <c r="D49" s="18" t="s">
        <v>2</v>
      </c>
      <c r="E49" s="16" t="s">
        <v>9</v>
      </c>
      <c r="F49" s="15" t="str">
        <f t="shared" si="1"/>
        <v>Domenighetti - Bignasca &amp; Associati SA Casella postale 427 6600 Muralto</v>
      </c>
      <c r="G49" s="25">
        <v>6856.25</v>
      </c>
      <c r="H49" s="12"/>
    </row>
    <row r="50" spans="1:8" s="13" customFormat="1" ht="31.5" customHeight="1" x14ac:dyDescent="0.25">
      <c r="A50" s="14" t="s">
        <v>11</v>
      </c>
      <c r="B50" s="23">
        <v>45976</v>
      </c>
      <c r="C50" s="24" t="str">
        <f>"Consulenza UTC prestazioni sett.-ott. 2025"</f>
        <v>Consulenza UTC prestazioni sett.-ott. 2025</v>
      </c>
      <c r="D50" s="18" t="s">
        <v>2</v>
      </c>
      <c r="E50" s="16" t="s">
        <v>9</v>
      </c>
      <c r="F50" s="15" t="str">
        <f t="shared" si="1"/>
        <v>Domenighetti - Bignasca &amp; Associati SA Casella postale 427 6600 Muralto</v>
      </c>
      <c r="G50" s="25">
        <v>8330.75</v>
      </c>
      <c r="H50" s="12"/>
    </row>
    <row r="51" spans="1:8" s="13" customFormat="1" ht="31.5" customHeight="1" x14ac:dyDescent="0.25">
      <c r="A51" s="14" t="s">
        <v>11</v>
      </c>
      <c r="B51" s="23">
        <v>45810</v>
      </c>
      <c r="C51" s="24" t="str">
        <f>"Controlli impianti a combustione marzo, aprile,  maggio 2025"</f>
        <v>Controlli impianti a combustione marzo, aprile,  maggio 2025</v>
      </c>
      <c r="D51" s="18" t="s">
        <v>2</v>
      </c>
      <c r="E51" s="16" t="s">
        <v>9</v>
      </c>
      <c r="F51" s="24" t="str">
        <f>"Emma  Luciano Via Dei Paoli 16 6648 Minusio"</f>
        <v>Emma  Luciano Via Dei Paoli 16 6648 Minusio</v>
      </c>
      <c r="G51" s="25">
        <v>8811</v>
      </c>
      <c r="H51" s="12"/>
    </row>
    <row r="52" spans="1:8" s="13" customFormat="1" ht="31.5" customHeight="1" x14ac:dyDescent="0.25">
      <c r="A52" s="14" t="s">
        <v>11</v>
      </c>
      <c r="B52" s="23">
        <v>45902</v>
      </c>
      <c r="C52" s="24" t="str">
        <f>"Controllo impianti a combustione 21°ciclo"</f>
        <v>Controllo impianti a combustione 21°ciclo</v>
      </c>
      <c r="D52" s="18" t="s">
        <v>2</v>
      </c>
      <c r="E52" s="16" t="s">
        <v>9</v>
      </c>
      <c r="F52" s="24" t="str">
        <f>"Emma  Luciano Via Dei Paoli 16 6648 Minusio"</f>
        <v>Emma  Luciano Via Dei Paoli 16 6648 Minusio</v>
      </c>
      <c r="G52" s="25">
        <v>7355</v>
      </c>
      <c r="H52" s="12"/>
    </row>
    <row r="53" spans="1:8" s="13" customFormat="1" ht="31.5" customHeight="1" x14ac:dyDescent="0.25">
      <c r="A53" s="14" t="s">
        <v>11</v>
      </c>
      <c r="B53" s="23">
        <v>45960</v>
      </c>
      <c r="C53" s="24" t="str">
        <f>"Fattura finale lavori di posa sottostrutture -  illuminazione pubblica in Via Ronco"</f>
        <v>Fattura finale lavori di posa sottostrutture -  illuminazione pubblica in Via Ronco</v>
      </c>
      <c r="D53" s="18" t="s">
        <v>0</v>
      </c>
      <c r="E53" s="16" t="s">
        <v>9</v>
      </c>
      <c r="F53" s="15" t="str">
        <f>"Ennio Ferrari SA Via Perdaglie 1 6527 Lodrino"</f>
        <v>Ennio Ferrari SA Via Perdaglie 1 6527 Lodrino</v>
      </c>
      <c r="G53" s="25">
        <v>16348.85</v>
      </c>
      <c r="H53" s="12"/>
    </row>
    <row r="54" spans="1:8" s="13" customFormat="1" ht="31.5" customHeight="1" x14ac:dyDescent="0.25">
      <c r="A54" s="14" t="s">
        <v>11</v>
      </c>
      <c r="B54" s="23">
        <v>45860</v>
      </c>
      <c r="C54" s="24" t="str">
        <f>"Lavori di posta sottostrutture - illuminazione  pubblica in Via Ronco"</f>
        <v>Lavori di posta sottostrutture - illuminazione  pubblica in Via Ronco</v>
      </c>
      <c r="D54" s="18" t="s">
        <v>0</v>
      </c>
      <c r="E54" s="16" t="s">
        <v>9</v>
      </c>
      <c r="F54" s="15" t="str">
        <f>"Ennio Ferrari SA Via Perdaglie 1 6527 Lodrino"</f>
        <v>Ennio Ferrari SA Via Perdaglie 1 6527 Lodrino</v>
      </c>
      <c r="G54" s="25">
        <v>48465</v>
      </c>
      <c r="H54" s="12"/>
    </row>
    <row r="55" spans="1:8" s="13" customFormat="1" ht="31.5" customHeight="1" x14ac:dyDescent="0.25">
      <c r="A55" s="14" t="s">
        <v>11</v>
      </c>
      <c r="B55" s="23">
        <v>45681</v>
      </c>
      <c r="C55" s="24" t="str">
        <f>"Forniture porte nuovo magazzino comunale"</f>
        <v>Forniture porte nuovo magazzino comunale</v>
      </c>
      <c r="D55" s="18" t="s">
        <v>1</v>
      </c>
      <c r="E55" s="16" t="s">
        <v>9</v>
      </c>
      <c r="F55" s="24" t="str">
        <f>"Filomarino Servizio Chiavi SA Via Balestra 8 6600 Locarno"</f>
        <v>Filomarino Servizio Chiavi SA Via Balestra 8 6600 Locarno</v>
      </c>
      <c r="G55" s="25">
        <v>14298.4</v>
      </c>
      <c r="H55" s="12"/>
    </row>
    <row r="56" spans="1:8" s="13" customFormat="1" ht="31.5" customHeight="1" x14ac:dyDescent="0.25">
      <c r="A56" s="14" t="s">
        <v>11</v>
      </c>
      <c r="B56" s="23">
        <v>45866</v>
      </c>
      <c r="C56" s="24" t="str">
        <f>"Lavori esterni per fornitura e posa desabbiatore  e desoliatore nuovo magazzino comunale"</f>
        <v>Lavori esterni per fornitura e posa desabbiatore  e desoliatore nuovo magazzino comunale</v>
      </c>
      <c r="D56" s="18" t="s">
        <v>15</v>
      </c>
      <c r="E56" s="16" t="s">
        <v>9</v>
      </c>
      <c r="F56" s="24" t="str">
        <f>"Floorbeton Via San Mamete 6805 Mezzovico"</f>
        <v>Floorbeton Via San Mamete 6805 Mezzovico</v>
      </c>
      <c r="G56" s="25">
        <v>15000</v>
      </c>
      <c r="H56" s="12"/>
    </row>
    <row r="57" spans="1:8" s="13" customFormat="1" ht="31.5" customHeight="1" x14ac:dyDescent="0.25">
      <c r="A57" s="14" t="s">
        <v>11</v>
      </c>
      <c r="B57" s="23">
        <v>45866</v>
      </c>
      <c r="C57" s="24" t="str">
        <f>"Sottofondi cementizi e opere di asfaltatura  nuovo magazzino comunale"</f>
        <v>Sottofondi cementizi e opere di asfaltatura  nuovo magazzino comunale</v>
      </c>
      <c r="D57" s="18" t="s">
        <v>15</v>
      </c>
      <c r="E57" s="16" t="s">
        <v>9</v>
      </c>
      <c r="F57" s="24" t="str">
        <f>"Floorbeton Via San Mamete 6805 Mezzovico"</f>
        <v>Floorbeton Via San Mamete 6805 Mezzovico</v>
      </c>
      <c r="G57" s="25">
        <v>10445.049999999999</v>
      </c>
      <c r="H57" s="12"/>
    </row>
    <row r="58" spans="1:8" s="13" customFormat="1" ht="31.5" customHeight="1" x14ac:dyDescent="0.25">
      <c r="A58" s="14" t="s">
        <v>11</v>
      </c>
      <c r="B58" s="23">
        <v>45699</v>
      </c>
      <c r="C58" s="24" t="str">
        <f>"Lavori di sottofondo in cemento - nuovo magazzino  comunale"</f>
        <v>Lavori di sottofondo in cemento - nuovo magazzino  comunale</v>
      </c>
      <c r="D58" s="18" t="s">
        <v>15</v>
      </c>
      <c r="E58" s="16" t="s">
        <v>9</v>
      </c>
      <c r="F58" s="24" t="str">
        <f>"Floorbeton Via San Mamete 6805 Mezzovico"</f>
        <v>Floorbeton Via San Mamete 6805 Mezzovico</v>
      </c>
      <c r="G58" s="25">
        <v>8000</v>
      </c>
      <c r="H58" s="12"/>
    </row>
    <row r="59" spans="1:8" s="13" customFormat="1" ht="31.5" customHeight="1" x14ac:dyDescent="0.25">
      <c r="A59" s="14" t="s">
        <v>11</v>
      </c>
      <c r="B59" s="23">
        <v>45936</v>
      </c>
      <c r="C59" s="24" t="str">
        <f>"Acquisto sacchi rifiuti 35L"</f>
        <v>Acquisto sacchi rifiuti 35L</v>
      </c>
      <c r="D59" s="18" t="s">
        <v>1</v>
      </c>
      <c r="E59" s="16" t="s">
        <v>9</v>
      </c>
      <c r="F59" s="15" t="str">
        <f>"FO-Security AG Gewerbestrasse 18 8132 Hinteregg"</f>
        <v>FO-Security AG Gewerbestrasse 18 8132 Hinteregg</v>
      </c>
      <c r="G59" s="25">
        <v>5140.3500000000004</v>
      </c>
      <c r="H59" s="12"/>
    </row>
    <row r="60" spans="1:8" s="13" customFormat="1" ht="31.5" customHeight="1" x14ac:dyDescent="0.25">
      <c r="A60" s="14" t="s">
        <v>11</v>
      </c>
      <c r="B60" s="23">
        <v>45803</v>
      </c>
      <c r="C60" s="24" t="str">
        <f>"Banco da lavoro - nuovo magazzino comunale"</f>
        <v>Banco da lavoro - nuovo magazzino comunale</v>
      </c>
      <c r="D60" s="18" t="s">
        <v>1</v>
      </c>
      <c r="E60" s="16" t="s">
        <v>9</v>
      </c>
      <c r="F60" s="24" t="str">
        <f>"Frigerio &amp; Co. Via Varesi 18 6601 Locarno"</f>
        <v>Frigerio &amp; Co. Via Varesi 18 6601 Locarno</v>
      </c>
      <c r="G60" s="25">
        <v>10592.45</v>
      </c>
      <c r="H60" s="12"/>
    </row>
    <row r="61" spans="1:8" s="13" customFormat="1" ht="31.5" customHeight="1" x14ac:dyDescent="0.25">
      <c r="A61" s="14" t="s">
        <v>11</v>
      </c>
      <c r="B61" s="23">
        <v>45853</v>
      </c>
      <c r="C61" s="24" t="str">
        <f>"Opere da pittore appartamento 1°piano ex-Bettoni"</f>
        <v>Opere da pittore appartamento 1°piano ex-Bettoni</v>
      </c>
      <c r="D61" s="18" t="s">
        <v>1</v>
      </c>
      <c r="E61" s="16" t="s">
        <v>9</v>
      </c>
      <c r="F61" s="24" t="str">
        <f>"Gallotti SA impresa pittura Via Arbigo 66 6616 Losone"</f>
        <v>Gallotti SA impresa pittura Via Arbigo 66 6616 Losone</v>
      </c>
      <c r="G61" s="25">
        <v>7796.8</v>
      </c>
      <c r="H61" s="12"/>
    </row>
    <row r="62" spans="1:8" s="13" customFormat="1" ht="31.5" customHeight="1" x14ac:dyDescent="0.25">
      <c r="A62" s="14" t="s">
        <v>11</v>
      </c>
      <c r="B62" s="23">
        <v>45756</v>
      </c>
      <c r="C62" s="24" t="str">
        <f>"Saldo finale opere da impresario costruttore -  sistemazione del posteggio in via delle Scuole"</f>
        <v>Saldo finale opere da impresario costruttore -  sistemazione del posteggio in via delle Scuole</v>
      </c>
      <c r="D62" s="18" t="s">
        <v>0</v>
      </c>
      <c r="E62" s="16" t="s">
        <v>9</v>
      </c>
      <c r="F62" s="15" t="str">
        <f>"Gamboni &amp; Salmina SA Impresa Costruzioni 6596 Gordola"</f>
        <v>Gamboni &amp; Salmina SA Impresa Costruzioni 6596 Gordola</v>
      </c>
      <c r="G62" s="25">
        <v>29813.65</v>
      </c>
      <c r="H62" s="12"/>
    </row>
    <row r="63" spans="1:8" s="13" customFormat="1" ht="31.5" customHeight="1" x14ac:dyDescent="0.25">
      <c r="A63" s="14" t="s">
        <v>11</v>
      </c>
      <c r="B63" s="23">
        <v>45777</v>
      </c>
      <c r="C63" s="24" t="str">
        <f>"Fornitura silo da 5 mc d'occasione per  deposito sale antighiaccio"</f>
        <v>Fornitura silo da 5 mc d'occasione per  deposito sale antighiaccio</v>
      </c>
      <c r="D63" s="18" t="s">
        <v>2</v>
      </c>
      <c r="E63" s="16" t="s">
        <v>9</v>
      </c>
      <c r="F63" s="24" t="str">
        <f>"Gianni Ochsner Servizi Pubblici SA Via Cantonale 2 6814 Lamone"</f>
        <v>Gianni Ochsner Servizi Pubblici SA Via Cantonale 2 6814 Lamone</v>
      </c>
      <c r="G63" s="25">
        <v>7026.5</v>
      </c>
      <c r="H63" s="12"/>
    </row>
    <row r="64" spans="1:8" s="13" customFormat="1" ht="31.5" customHeight="1" x14ac:dyDescent="0.25">
      <c r="A64" s="14" t="s">
        <v>11</v>
      </c>
      <c r="B64" s="23">
        <v>46002</v>
      </c>
      <c r="C64" s="24" t="str">
        <f>"Acquisto silo per stoccaggio sale"</f>
        <v>Acquisto silo per stoccaggio sale</v>
      </c>
      <c r="D64" s="18" t="s">
        <v>1</v>
      </c>
      <c r="E64" s="16" t="s">
        <v>9</v>
      </c>
      <c r="F64" s="24" t="str">
        <f>"Gianni Ochsner Servizi Pubblici SA Via Cantonale 2 6814 Lamone"</f>
        <v>Gianni Ochsner Servizi Pubblici SA Via Cantonale 2 6814 Lamone</v>
      </c>
      <c r="G64" s="25">
        <v>7026.5</v>
      </c>
      <c r="H64" s="12"/>
    </row>
    <row r="65" spans="1:8" s="13" customFormat="1" ht="31.5" customHeight="1" x14ac:dyDescent="0.25">
      <c r="A65" s="14" t="s">
        <v>11</v>
      </c>
      <c r="B65" s="23">
        <v>45800</v>
      </c>
      <c r="C65" s="24" t="str">
        <f>"Interventi forestali danni grandine del 25.08.2023"</f>
        <v>Interventi forestali danni grandine del 25.08.2023</v>
      </c>
      <c r="D65" s="18" t="s">
        <v>13</v>
      </c>
      <c r="E65" s="16" t="s">
        <v>9</v>
      </c>
      <c r="F65" s="15" t="str">
        <f>"Giovanni detto Gianni Terzi Selvicoltore 6656 Golino"</f>
        <v>Giovanni detto Gianni Terzi Selvicoltore 6656 Golino</v>
      </c>
      <c r="G65" s="25">
        <v>53855.040000000001</v>
      </c>
      <c r="H65" s="12"/>
    </row>
    <row r="66" spans="1:8" s="13" customFormat="1" ht="31.5" customHeight="1" x14ac:dyDescent="0.25">
      <c r="A66" s="14" t="s">
        <v>11</v>
      </c>
      <c r="B66" s="23">
        <v>45960</v>
      </c>
      <c r="C66" s="24" t="str">
        <f>"Manutenzione idranti"</f>
        <v>Manutenzione idranti</v>
      </c>
      <c r="D66" s="18" t="s">
        <v>2</v>
      </c>
      <c r="E66" s="16" t="s">
        <v>9</v>
      </c>
      <c r="F66" s="24" t="str">
        <f>"Hinni AG Gewerbestrasse 18 4105 Biel"</f>
        <v>Hinni AG Gewerbestrasse 18 4105 Biel</v>
      </c>
      <c r="G66" s="25">
        <v>5547.7</v>
      </c>
      <c r="H66" s="12"/>
    </row>
    <row r="67" spans="1:8" s="13" customFormat="1" ht="31.5" customHeight="1" x14ac:dyDescent="0.25">
      <c r="A67" s="14" t="s">
        <v>11</v>
      </c>
      <c r="B67" s="23">
        <v>45986</v>
      </c>
      <c r="C67" s="24" t="str">
        <f>"Pianificazione giardino e accompagnamento  scientifico / specie sostitutive delle palme"</f>
        <v>Pianificazione giardino e accompagnamento  scientifico / specie sostitutive delle palme</v>
      </c>
      <c r="D67" s="18" t="s">
        <v>2</v>
      </c>
      <c r="E67" s="16" t="s">
        <v>12</v>
      </c>
      <c r="F67" s="24" t="str">
        <f>"Istituto federale di ricerca per la foresta,  Zürcherstrasse 111 8903 Birmensdorf"</f>
        <v>Istituto federale di ricerca per la foresta,  Zürcherstrasse 111 8903 Birmensdorf</v>
      </c>
      <c r="G67" s="25">
        <v>5000</v>
      </c>
      <c r="H67" s="12"/>
    </row>
    <row r="68" spans="1:8" s="13" customFormat="1" ht="31.5" customHeight="1" x14ac:dyDescent="0.25">
      <c r="A68" s="14" t="s">
        <v>11</v>
      </c>
      <c r="B68" s="23">
        <v>46009</v>
      </c>
      <c r="C68" s="24" t="str">
        <f>"2.acconto impianto fotovoltaico stabile ex-scuole"</f>
        <v>2.acconto impianto fotovoltaico stabile ex-scuole</v>
      </c>
      <c r="D68" s="18" t="s">
        <v>1</v>
      </c>
      <c r="E68" s="16" t="s">
        <v>12</v>
      </c>
      <c r="F68" s="24" t="str">
        <f>"J.Clever SA Via Luserte Sud 8 6572 Quartino"</f>
        <v>J.Clever SA Via Luserte Sud 8 6572 Quartino</v>
      </c>
      <c r="G68" s="25">
        <v>11095</v>
      </c>
      <c r="H68" s="12"/>
    </row>
    <row r="69" spans="1:8" s="13" customFormat="1" ht="31.5" customHeight="1" x14ac:dyDescent="0.25">
      <c r="A69" s="14" t="s">
        <v>11</v>
      </c>
      <c r="B69" s="23">
        <v>45959</v>
      </c>
      <c r="C69" s="24" t="str">
        <f>"Impianto fotovoltaico stabile ex-scuole"</f>
        <v>Impianto fotovoltaico stabile ex-scuole</v>
      </c>
      <c r="D69" s="18" t="s">
        <v>1</v>
      </c>
      <c r="E69" s="16" t="s">
        <v>9</v>
      </c>
      <c r="F69" s="24" t="str">
        <f>"J.Clever SA Via Luserte Sud 8 6572 Quartino"</f>
        <v>J.Clever SA Via Luserte Sud 8 6572 Quartino</v>
      </c>
      <c r="G69" s="25">
        <v>13190</v>
      </c>
      <c r="H69" s="12"/>
    </row>
    <row r="70" spans="1:8" s="13" customFormat="1" ht="31.5" customHeight="1" x14ac:dyDescent="0.25">
      <c r="A70" s="14" t="s">
        <v>11</v>
      </c>
      <c r="B70" s="23">
        <v>45938</v>
      </c>
      <c r="C70" s="24" t="str">
        <f>"1.acconto opere da carpentiere stabile ex-scuole  comunali"</f>
        <v>1.acconto opere da carpentiere stabile ex-scuole  comunali</v>
      </c>
      <c r="D70" s="18" t="s">
        <v>0</v>
      </c>
      <c r="E70" s="16" t="s">
        <v>9</v>
      </c>
      <c r="F70" s="15" t="str">
        <f t="shared" ref="F70:F73" si="2">"Laube SA Carpenteria - cop. tetti 6710 Biasca"</f>
        <v>Laube SA Carpenteria - cop. tetti 6710 Biasca</v>
      </c>
      <c r="G70" s="25">
        <v>50000</v>
      </c>
      <c r="H70" s="12"/>
    </row>
    <row r="71" spans="1:8" s="13" customFormat="1" ht="31.5" customHeight="1" x14ac:dyDescent="0.25">
      <c r="A71" s="14" t="s">
        <v>11</v>
      </c>
      <c r="B71" s="23">
        <v>45952</v>
      </c>
      <c r="C71" s="24" t="str">
        <f>"1.acconto opere da cantiere stabile ex-scuole  comunali"</f>
        <v>1.acconto opere da cantiere stabile ex-scuole  comunali</v>
      </c>
      <c r="D71" s="18" t="s">
        <v>0</v>
      </c>
      <c r="E71" s="16" t="s">
        <v>12</v>
      </c>
      <c r="F71" s="15" t="str">
        <f t="shared" si="2"/>
        <v>Laube SA Carpenteria - cop. tetti 6710 Biasca</v>
      </c>
      <c r="G71" s="25">
        <v>50000</v>
      </c>
      <c r="H71" s="12"/>
    </row>
    <row r="72" spans="1:8" s="13" customFormat="1" ht="31.5" customHeight="1" x14ac:dyDescent="0.25">
      <c r="A72" s="14" t="s">
        <v>11</v>
      </c>
      <c r="B72" s="23">
        <v>45974</v>
      </c>
      <c r="C72" s="24" t="str">
        <f>"4.acconto opere da carpentiere stabile ex-scuole  comunali"</f>
        <v>4.acconto opere da carpentiere stabile ex-scuole  comunali</v>
      </c>
      <c r="D72" s="18" t="s">
        <v>0</v>
      </c>
      <c r="E72" s="16" t="s">
        <v>12</v>
      </c>
      <c r="F72" s="15" t="str">
        <f t="shared" si="2"/>
        <v>Laube SA Carpenteria - cop. tetti 6710 Biasca</v>
      </c>
      <c r="G72" s="25">
        <v>20000</v>
      </c>
      <c r="H72" s="12"/>
    </row>
    <row r="73" spans="1:8" s="13" customFormat="1" ht="31.5" customHeight="1" x14ac:dyDescent="0.25">
      <c r="A73" s="14" t="s">
        <v>11</v>
      </c>
      <c r="B73" s="23">
        <v>45966</v>
      </c>
      <c r="C73" s="24" t="str">
        <f>"3.acconto opere da carpentiere stabile ex-scuole  comunali"</f>
        <v>3.acconto opere da carpentiere stabile ex-scuole  comunali</v>
      </c>
      <c r="D73" s="18" t="s">
        <v>0</v>
      </c>
      <c r="E73" s="16" t="s">
        <v>9</v>
      </c>
      <c r="F73" s="15" t="str">
        <f t="shared" si="2"/>
        <v>Laube SA Carpenteria - cop. tetti 6710 Biasca</v>
      </c>
      <c r="G73" s="25">
        <v>40000</v>
      </c>
      <c r="H73" s="12"/>
    </row>
    <row r="74" spans="1:8" s="13" customFormat="1" ht="31.5" customHeight="1" x14ac:dyDescent="0.25">
      <c r="A74" s="14" t="s">
        <v>11</v>
      </c>
      <c r="B74" s="23">
        <v>45896</v>
      </c>
      <c r="C74" s="24" t="str">
        <f>"Lavori di falegnameria per serramenti  stabile ex-scuole comunali"</f>
        <v>Lavori di falegnameria per serramenti  stabile ex-scuole comunali</v>
      </c>
      <c r="D74" s="18" t="s">
        <v>1</v>
      </c>
      <c r="E74" s="16" t="s">
        <v>12</v>
      </c>
      <c r="F74" s="24" t="str">
        <f>"Lurati &amp; Frei SA Via Delta 6612 Ascona"</f>
        <v>Lurati &amp; Frei SA Via Delta 6612 Ascona</v>
      </c>
      <c r="G74" s="25">
        <v>5000</v>
      </c>
      <c r="H74" s="12"/>
    </row>
    <row r="75" spans="1:8" s="13" customFormat="1" ht="31.5" customHeight="1" x14ac:dyDescent="0.25">
      <c r="A75" s="14" t="s">
        <v>11</v>
      </c>
      <c r="B75" s="23">
        <v>45824</v>
      </c>
      <c r="C75" s="24" t="str">
        <f>"Opere da falegname - nuovo magazzino comunale"</f>
        <v>Opere da falegname - nuovo magazzino comunale</v>
      </c>
      <c r="D75" s="18" t="s">
        <v>1</v>
      </c>
      <c r="E75" s="16" t="s">
        <v>9</v>
      </c>
      <c r="F75" s="24" t="str">
        <f>"Lurati &amp; Frei SA Via Delta 6612 Ascona"</f>
        <v>Lurati &amp; Frei SA Via Delta 6612 Ascona</v>
      </c>
      <c r="G75" s="25">
        <v>7184.3</v>
      </c>
      <c r="H75" s="12"/>
    </row>
    <row r="76" spans="1:8" s="13" customFormat="1" ht="31.5" customHeight="1" x14ac:dyDescent="0.25">
      <c r="A76" s="14" t="s">
        <v>11</v>
      </c>
      <c r="B76" s="23">
        <v>45943</v>
      </c>
      <c r="C76" s="24" t="str">
        <f>"2.acconto lavori di falegnameria per serramenti  stabile ex-scuole comunali"</f>
        <v>2.acconto lavori di falegnameria per serramenti  stabile ex-scuole comunali</v>
      </c>
      <c r="D76" s="18" t="s">
        <v>1</v>
      </c>
      <c r="E76" s="16" t="s">
        <v>12</v>
      </c>
      <c r="F76" s="24" t="str">
        <f>"Lurati &amp; Frei SA Via Delta 6612 Ascona"</f>
        <v>Lurati &amp; Frei SA Via Delta 6612 Ascona</v>
      </c>
      <c r="G76" s="25">
        <v>5000</v>
      </c>
      <c r="H76" s="12"/>
    </row>
    <row r="77" spans="1:8" s="13" customFormat="1" ht="31.5" customHeight="1" x14ac:dyDescent="0.25">
      <c r="A77" s="14" t="s">
        <v>11</v>
      </c>
      <c r="B77" s="23">
        <v>45776</v>
      </c>
      <c r="C77" s="24" t="str">
        <f>"Consulenza sicurezza posto sul posto di lavoro"</f>
        <v>Consulenza sicurezza posto sul posto di lavoro</v>
      </c>
      <c r="D77" s="18" t="s">
        <v>2</v>
      </c>
      <c r="E77" s="16" t="s">
        <v>9</v>
      </c>
      <c r="F77" s="24" t="str">
        <f>"Marchetti Engineering Sagl Via Verbano 17a 6648 Minusio"</f>
        <v>Marchetti Engineering Sagl Via Verbano 17a 6648 Minusio</v>
      </c>
      <c r="G77" s="25">
        <v>6486</v>
      </c>
      <c r="H77" s="12"/>
    </row>
    <row r="78" spans="1:8" s="13" customFormat="1" ht="31.5" customHeight="1" x14ac:dyDescent="0.25">
      <c r="A78" s="14" t="s">
        <v>11</v>
      </c>
      <c r="B78" s="23">
        <v>45692</v>
      </c>
      <c r="C78" s="24" t="str">
        <f>"7.acconto impresa costruzioni - nuovo magazzino  comunale"</f>
        <v>7.acconto impresa costruzioni - nuovo magazzino  comunale</v>
      </c>
      <c r="D78" s="18" t="s">
        <v>0</v>
      </c>
      <c r="E78" s="16" t="s">
        <v>12</v>
      </c>
      <c r="F78" s="15" t="str">
        <f t="shared" ref="F78:F80" si="3">"Merlini e Ferrari SA Via dei Paoli 4 6648 Minusio"</f>
        <v>Merlini e Ferrari SA Via dei Paoli 4 6648 Minusio</v>
      </c>
      <c r="G78" s="25">
        <v>50000</v>
      </c>
      <c r="H78" s="12"/>
    </row>
    <row r="79" spans="1:8" s="13" customFormat="1" ht="31.5" customHeight="1" x14ac:dyDescent="0.25">
      <c r="A79" s="14" t="s">
        <v>11</v>
      </c>
      <c r="B79" s="23">
        <v>45954</v>
      </c>
      <c r="C79" s="24" t="str">
        <f>"1.acconto - risanamento canalizzazione  zona Pontif"</f>
        <v>1.acconto - risanamento canalizzazione  zona Pontif</v>
      </c>
      <c r="D79" s="18" t="s">
        <v>0</v>
      </c>
      <c r="E79" s="16" t="s">
        <v>12</v>
      </c>
      <c r="F79" s="15" t="str">
        <f t="shared" si="3"/>
        <v>Merlini e Ferrari SA Via dei Paoli 4 6648 Minusio</v>
      </c>
      <c r="G79" s="25">
        <v>21620</v>
      </c>
      <c r="H79" s="12"/>
    </row>
    <row r="80" spans="1:8" s="13" customFormat="1" ht="31.5" customHeight="1" x14ac:dyDescent="0.25">
      <c r="A80" s="14" t="s">
        <v>11</v>
      </c>
      <c r="B80" s="23">
        <v>45905</v>
      </c>
      <c r="C80" s="24" t="str">
        <f>"Fattura finale impresa di costruzioni - nuovo  magazzino comunale"</f>
        <v>Fattura finale impresa di costruzioni - nuovo  magazzino comunale</v>
      </c>
      <c r="D80" s="18" t="s">
        <v>0</v>
      </c>
      <c r="E80" s="16" t="s">
        <v>12</v>
      </c>
      <c r="F80" s="15" t="str">
        <f t="shared" si="3"/>
        <v>Merlini e Ferrari SA Via dei Paoli 4 6648 Minusio</v>
      </c>
      <c r="G80" s="25">
        <v>70790.5</v>
      </c>
      <c r="H80" s="12"/>
    </row>
    <row r="81" spans="1:8" s="13" customFormat="1" ht="31.5" customHeight="1" x14ac:dyDescent="0.25">
      <c r="A81" s="14" t="s">
        <v>11</v>
      </c>
      <c r="B81" s="23">
        <v>45992</v>
      </c>
      <c r="C81" s="24" t="str">
        <f>"Onorario architetto - 2°acconto fase esecutiva  ripristino danni grandine stabile ex-scuole"</f>
        <v>Onorario architetto - 2°acconto fase esecutiva  ripristino danni grandine stabile ex-scuole</v>
      </c>
      <c r="D81" s="18" t="s">
        <v>2</v>
      </c>
      <c r="E81" s="16" t="s">
        <v>12</v>
      </c>
      <c r="F81" s="15" t="str">
        <f>"Michele Arnaboldi Architetti Sagl Via Remorino 16 6648 Minusio"</f>
        <v>Michele Arnaboldi Architetti Sagl Via Remorino 16 6648 Minusio</v>
      </c>
      <c r="G81" s="25">
        <v>21620</v>
      </c>
      <c r="H81" s="12"/>
    </row>
    <row r="82" spans="1:8" s="13" customFormat="1" ht="31.5" customHeight="1" x14ac:dyDescent="0.25">
      <c r="A82" s="14" t="s">
        <v>11</v>
      </c>
      <c r="B82" s="23">
        <v>45926</v>
      </c>
      <c r="C82" s="24" t="str">
        <f>"Onorario architetto - 1°acconto fase esecutiva  ripristino danni grandine ex palazzo scolastico"</f>
        <v>Onorario architetto - 1°acconto fase esecutiva  ripristino danni grandine ex palazzo scolastico</v>
      </c>
      <c r="D82" s="18" t="s">
        <v>2</v>
      </c>
      <c r="E82" s="16" t="s">
        <v>9</v>
      </c>
      <c r="F82" s="15" t="str">
        <f>"Michele Arnaboldi Architetti Sagl Via Remorino 16 6648 Minusio"</f>
        <v>Michele Arnaboldi Architetti Sagl Via Remorino 16 6648 Minusio</v>
      </c>
      <c r="G82" s="25">
        <v>16215</v>
      </c>
      <c r="H82" s="12"/>
    </row>
    <row r="83" spans="1:8" s="13" customFormat="1" ht="31.5" customHeight="1" x14ac:dyDescent="0.25">
      <c r="A83" s="22" t="s">
        <v>11</v>
      </c>
      <c r="B83" s="23">
        <v>45708</v>
      </c>
      <c r="C83" s="24" t="str">
        <f>"Onorario architetto - ripristino danni grandine  ex palazzo scolastico"</f>
        <v>Onorario architetto - ripristino danni grandine  ex palazzo scolastico</v>
      </c>
      <c r="D83" s="18" t="s">
        <v>2</v>
      </c>
      <c r="E83" s="16" t="s">
        <v>9</v>
      </c>
      <c r="F83" s="15" t="str">
        <f>"Michele Arnaboldi Architetti Sagl Via Remorino 16 6648 Minusio"</f>
        <v>Michele Arnaboldi Architetti Sagl Via Remorino 16 6648 Minusio</v>
      </c>
      <c r="G83" s="25">
        <v>27500</v>
      </c>
      <c r="H83" s="12"/>
    </row>
    <row r="84" spans="1:8" s="13" customFormat="1" ht="31.5" customHeight="1" x14ac:dyDescent="0.25">
      <c r="A84" s="14" t="s">
        <v>11</v>
      </c>
      <c r="B84" s="23">
        <v>45980</v>
      </c>
      <c r="C84" s="24" t="str">
        <f>"Nuova copertura tetto in piode Cappella Seewald"</f>
        <v>Nuova copertura tetto in piode Cappella Seewald</v>
      </c>
      <c r="D84" s="18" t="s">
        <v>0</v>
      </c>
      <c r="E84" s="16" t="s">
        <v>12</v>
      </c>
      <c r="F84" s="24" t="str">
        <f>"MIsa Costruzioni Sagl Vicolo Canaa 12 6616 Losone"</f>
        <v>MIsa Costruzioni Sagl Vicolo Canaa 12 6616 Losone</v>
      </c>
      <c r="G84" s="25">
        <v>36321.949999999997</v>
      </c>
      <c r="H84" s="12"/>
    </row>
    <row r="85" spans="1:8" s="13" customFormat="1" ht="31.5" customHeight="1" x14ac:dyDescent="0.25">
      <c r="A85" s="14" t="s">
        <v>11</v>
      </c>
      <c r="B85" s="23">
        <v>45868</v>
      </c>
      <c r="C85" s="24" t="str">
        <f>"Servizio raccolta rifiuti mese di luglio 2025"</f>
        <v>Servizio raccolta rifiuti mese di luglio 2025</v>
      </c>
      <c r="D85" s="18" t="s">
        <v>2</v>
      </c>
      <c r="E85" s="16" t="s">
        <v>9</v>
      </c>
      <c r="F85" s="15" t="str">
        <f t="shared" ref="F85:F96" si="4">"Moro Ivano Autotrasporti Via Nosetto 12 6622 Ronco s/Ascona"</f>
        <v>Moro Ivano Autotrasporti Via Nosetto 12 6622 Ronco s/Ascona</v>
      </c>
      <c r="G85" s="25">
        <v>16592.3</v>
      </c>
      <c r="H85" s="12"/>
    </row>
    <row r="86" spans="1:8" s="13" customFormat="1" ht="31.5" customHeight="1" x14ac:dyDescent="0.25">
      <c r="A86" s="14" t="s">
        <v>11</v>
      </c>
      <c r="B86" s="23">
        <v>45838</v>
      </c>
      <c r="C86" s="24" t="str">
        <f>"Servizio raccolta rifiuti mese di giugno 2025"</f>
        <v>Servizio raccolta rifiuti mese di giugno 2025</v>
      </c>
      <c r="D86" s="18" t="s">
        <v>2</v>
      </c>
      <c r="E86" s="16" t="s">
        <v>9</v>
      </c>
      <c r="F86" s="15" t="str">
        <f t="shared" si="4"/>
        <v>Moro Ivano Autotrasporti Via Nosetto 12 6622 Ronco s/Ascona</v>
      </c>
      <c r="G86" s="25">
        <v>14349.2</v>
      </c>
      <c r="H86" s="12"/>
    </row>
    <row r="87" spans="1:8" s="13" customFormat="1" ht="31.5" customHeight="1" x14ac:dyDescent="0.25">
      <c r="A87" s="14" t="s">
        <v>11</v>
      </c>
      <c r="B87" s="23">
        <v>45930</v>
      </c>
      <c r="C87" s="24" t="str">
        <f>"Servizio raccolta rifiuti mese di settembre 2025"</f>
        <v>Servizio raccolta rifiuti mese di settembre 2025</v>
      </c>
      <c r="D87" s="18" t="s">
        <v>2</v>
      </c>
      <c r="E87" s="16" t="s">
        <v>9</v>
      </c>
      <c r="F87" s="15" t="str">
        <f t="shared" si="4"/>
        <v>Moro Ivano Autotrasporti Via Nosetto 12 6622 Ronco s/Ascona</v>
      </c>
      <c r="G87" s="25">
        <v>16430.099999999999</v>
      </c>
      <c r="H87" s="12"/>
    </row>
    <row r="88" spans="1:8" s="13" customFormat="1" ht="31.5" customHeight="1" x14ac:dyDescent="0.25">
      <c r="A88" s="14" t="s">
        <v>11</v>
      </c>
      <c r="B88" s="23">
        <v>46021</v>
      </c>
      <c r="C88" s="24" t="str">
        <f>"Servizio raccolta rifiuti mese di dicembre 2025"</f>
        <v>Servizio raccolta rifiuti mese di dicembre 2025</v>
      </c>
      <c r="D88" s="18" t="s">
        <v>2</v>
      </c>
      <c r="E88" s="16" t="s">
        <v>9</v>
      </c>
      <c r="F88" s="15" t="str">
        <f t="shared" si="4"/>
        <v>Moro Ivano Autotrasporti Via Nosetto 12 6622 Ronco s/Ascona</v>
      </c>
      <c r="G88" s="25">
        <v>11514.8</v>
      </c>
      <c r="H88" s="12"/>
    </row>
    <row r="89" spans="1:8" s="13" customFormat="1" ht="31.5" customHeight="1" x14ac:dyDescent="0.25">
      <c r="A89" s="14" t="s">
        <v>11</v>
      </c>
      <c r="B89" s="23">
        <v>45716</v>
      </c>
      <c r="C89" s="24" t="str">
        <f>"Servizio raccolta rifiuti mese di febbraio 2025"</f>
        <v>Servizio raccolta rifiuti mese di febbraio 2025</v>
      </c>
      <c r="D89" s="18" t="s">
        <v>2</v>
      </c>
      <c r="E89" s="16" t="s">
        <v>9</v>
      </c>
      <c r="F89" s="15" t="str">
        <f t="shared" si="4"/>
        <v>Moro Ivano Autotrasporti Via Nosetto 12 6622 Ronco s/Ascona</v>
      </c>
      <c r="G89" s="25">
        <v>10317.049999999999</v>
      </c>
      <c r="H89" s="12"/>
    </row>
    <row r="90" spans="1:8" s="13" customFormat="1" ht="31.5" customHeight="1" x14ac:dyDescent="0.25">
      <c r="A90" s="14" t="s">
        <v>11</v>
      </c>
      <c r="B90" s="23">
        <v>45807</v>
      </c>
      <c r="C90" s="24" t="str">
        <f>"Servizio raccolta rifiuti mese di maggio 2025"</f>
        <v>Servizio raccolta rifiuti mese di maggio 2025</v>
      </c>
      <c r="D90" s="18" t="s">
        <v>2</v>
      </c>
      <c r="E90" s="16" t="s">
        <v>9</v>
      </c>
      <c r="F90" s="15" t="str">
        <f t="shared" si="4"/>
        <v>Moro Ivano Autotrasporti Via Nosetto 12 6622 Ronco s/Ascona</v>
      </c>
      <c r="G90" s="25">
        <v>16430.099999999999</v>
      </c>
      <c r="H90" s="12"/>
    </row>
    <row r="91" spans="1:8" s="13" customFormat="1" ht="31.5" customHeight="1" x14ac:dyDescent="0.25">
      <c r="A91" s="14" t="s">
        <v>11</v>
      </c>
      <c r="B91" s="23">
        <v>45960</v>
      </c>
      <c r="C91" s="24" t="str">
        <f>"Servizio raccolta rifiuti mese di ottobre"</f>
        <v>Servizio raccolta rifiuti mese di ottobre</v>
      </c>
      <c r="D91" s="18" t="s">
        <v>2</v>
      </c>
      <c r="E91" s="16" t="s">
        <v>9</v>
      </c>
      <c r="F91" s="15" t="str">
        <f t="shared" si="4"/>
        <v>Moro Ivano Autotrasporti Via Nosetto 12 6622 Ronco s/Ascona</v>
      </c>
      <c r="G91" s="25">
        <v>12252.05</v>
      </c>
      <c r="H91" s="12"/>
    </row>
    <row r="92" spans="1:8" s="13" customFormat="1" ht="31.5" customHeight="1" x14ac:dyDescent="0.25">
      <c r="A92" s="14" t="s">
        <v>11</v>
      </c>
      <c r="B92" s="23">
        <v>45991</v>
      </c>
      <c r="C92" s="24" t="str">
        <f>"Servizio raccolta rifiuti mese di novembre 2025"</f>
        <v>Servizio raccolta rifiuti mese di novembre 2025</v>
      </c>
      <c r="D92" s="18" t="s">
        <v>2</v>
      </c>
      <c r="E92" s="16" t="s">
        <v>12</v>
      </c>
      <c r="F92" s="15" t="str">
        <f t="shared" si="4"/>
        <v>Moro Ivano Autotrasporti Via Nosetto 12 6622 Ronco s/Ascona</v>
      </c>
      <c r="G92" s="25">
        <v>10317.049999999999</v>
      </c>
      <c r="H92" s="12"/>
    </row>
    <row r="93" spans="1:8" s="13" customFormat="1" ht="31.5" customHeight="1" x14ac:dyDescent="0.25">
      <c r="A93" s="14" t="s">
        <v>11</v>
      </c>
      <c r="B93" s="23">
        <v>45746</v>
      </c>
      <c r="C93" s="24" t="str">
        <f>"Servizio raccolta rifiuti mese di marzo 2025"</f>
        <v>Servizio raccolta rifiuti mese di marzo 2025</v>
      </c>
      <c r="D93" s="18" t="s">
        <v>2</v>
      </c>
      <c r="E93" s="16" t="s">
        <v>12</v>
      </c>
      <c r="F93" s="15" t="str">
        <f t="shared" si="4"/>
        <v>Moro Ivano Autotrasporti Via Nosetto 12 6622 Ronco s/Ascona</v>
      </c>
      <c r="G93" s="25">
        <v>12560.15</v>
      </c>
      <c r="H93" s="12"/>
    </row>
    <row r="94" spans="1:8" s="13" customFormat="1" ht="31.5" customHeight="1" x14ac:dyDescent="0.25">
      <c r="A94" s="14" t="s">
        <v>11</v>
      </c>
      <c r="B94" s="23">
        <v>45899</v>
      </c>
      <c r="C94" s="24" t="str">
        <f>"Servizio raccolta rifiuti mese di agosto 2025"</f>
        <v>Servizio raccolta rifiuti mese di agosto 2025</v>
      </c>
      <c r="D94" s="18" t="s">
        <v>2</v>
      </c>
      <c r="E94" s="16" t="s">
        <v>12</v>
      </c>
      <c r="F94" s="15" t="str">
        <f t="shared" si="4"/>
        <v>Moro Ivano Autotrasporti Via Nosetto 12 6622 Ronco s/Ascona</v>
      </c>
      <c r="G94" s="25">
        <v>13381.7</v>
      </c>
      <c r="H94" s="12"/>
    </row>
    <row r="95" spans="1:8" s="13" customFormat="1" ht="31.5" customHeight="1" x14ac:dyDescent="0.25">
      <c r="A95" s="14" t="s">
        <v>11</v>
      </c>
      <c r="B95" s="23">
        <v>45687</v>
      </c>
      <c r="C95" s="24" t="str">
        <f>"Servizio raccolta rifiuti mese di gennaio 2025"</f>
        <v>Servizio raccolta rifiuti mese di gennaio 2025</v>
      </c>
      <c r="D95" s="18" t="s">
        <v>2</v>
      </c>
      <c r="E95" s="16" t="s">
        <v>9</v>
      </c>
      <c r="F95" s="15" t="str">
        <f t="shared" si="4"/>
        <v>Moro Ivano Autotrasporti Via Nosetto 12 6622 Ronco s/Ascona</v>
      </c>
      <c r="G95" s="25">
        <v>11514.8</v>
      </c>
      <c r="H95" s="12"/>
    </row>
    <row r="96" spans="1:8" s="13" customFormat="1" ht="31.5" customHeight="1" x14ac:dyDescent="0.25">
      <c r="A96" s="14" t="s">
        <v>11</v>
      </c>
      <c r="B96" s="23">
        <v>45777</v>
      </c>
      <c r="C96" s="24" t="str">
        <f>"Servizio raccolta rifiuti mese di aprile 2025"</f>
        <v>Servizio raccolta rifiuti mese di aprile 2025</v>
      </c>
      <c r="D96" s="18" t="s">
        <v>2</v>
      </c>
      <c r="E96" s="16" t="s">
        <v>12</v>
      </c>
      <c r="F96" s="15" t="str">
        <f t="shared" si="4"/>
        <v>Moro Ivano Autotrasporti Via Nosetto 12 6622 Ronco s/Ascona</v>
      </c>
      <c r="G96" s="25">
        <v>14187.05</v>
      </c>
      <c r="H96" s="12"/>
    </row>
    <row r="97" spans="1:8" s="13" customFormat="1" ht="35.25" customHeight="1" x14ac:dyDescent="0.25">
      <c r="A97" s="14" t="s">
        <v>11</v>
      </c>
      <c r="B97" s="23">
        <v>45818</v>
      </c>
      <c r="C97" s="24" t="str">
        <f>"Revisione conti annuali Comune"</f>
        <v>Revisione conti annuali Comune</v>
      </c>
      <c r="D97" s="18" t="s">
        <v>2</v>
      </c>
      <c r="E97" s="16" t="s">
        <v>12</v>
      </c>
      <c r="F97" s="15" t="str">
        <f>"Multirevisioni SA Via Verbano 7 6600 Muralto"</f>
        <v>Multirevisioni SA Via Verbano 7 6600 Muralto</v>
      </c>
      <c r="G97" s="25">
        <v>7999.4</v>
      </c>
      <c r="H97" s="12"/>
    </row>
    <row r="98" spans="1:8" ht="35.25" customHeight="1" x14ac:dyDescent="0.3">
      <c r="A98" s="14" t="s">
        <v>11</v>
      </c>
      <c r="B98" s="23">
        <v>45686</v>
      </c>
      <c r="C98" s="24" t="str">
        <f>"Partecipazione interventi Swisscom - località ai  Monti - opere da capomastro"</f>
        <v>Partecipazione interventi Swisscom - località ai  Monti - opere da capomastro</v>
      </c>
      <c r="D98" s="18" t="s">
        <v>0</v>
      </c>
      <c r="E98" s="16" t="s">
        <v>12</v>
      </c>
      <c r="F98" s="15" t="str">
        <f>"Odis B. De Leoni SA Via Traversa 50 6723 Marolta"</f>
        <v>Odis B. De Leoni SA Via Traversa 50 6723 Marolta</v>
      </c>
      <c r="G98" s="25">
        <v>9230.75</v>
      </c>
    </row>
    <row r="99" spans="1:8" ht="35.25" customHeight="1" x14ac:dyDescent="0.3">
      <c r="A99" s="14" t="s">
        <v>11</v>
      </c>
      <c r="B99" s="23">
        <v>45978</v>
      </c>
      <c r="C99" s="24" t="str">
        <f>"1.acconto opere da pittore stabile ex-scuole  comunali"</f>
        <v>1.acconto opere da pittore stabile ex-scuole  comunali</v>
      </c>
      <c r="D99" s="18" t="s">
        <v>0</v>
      </c>
      <c r="E99" s="16" t="s">
        <v>12</v>
      </c>
      <c r="F99" s="15" t="str">
        <f>"Pasinelli SA Via Galli 4 6600 Locarno"</f>
        <v>Pasinelli SA Via Galli 4 6600 Locarno</v>
      </c>
      <c r="G99" s="25">
        <v>30000</v>
      </c>
    </row>
    <row r="100" spans="1:8" ht="35.25" customHeight="1" x14ac:dyDescent="0.3">
      <c r="A100" s="14" t="s">
        <v>11</v>
      </c>
      <c r="B100" s="23">
        <v>45943</v>
      </c>
      <c r="C100" s="24" t="str">
        <f>"1.acconto opere da pittore - ripristino stabile  ex-scuole comunali"</f>
        <v>1.acconto opere da pittore - ripristino stabile  ex-scuole comunali</v>
      </c>
      <c r="D100" s="18" t="s">
        <v>0</v>
      </c>
      <c r="E100" s="16" t="s">
        <v>12</v>
      </c>
      <c r="F100" s="15" t="str">
        <f>"Pasinelli SA Via Galli 4 6600 Locarno"</f>
        <v>Pasinelli SA Via Galli 4 6600 Locarno</v>
      </c>
      <c r="G100" s="25">
        <v>30000</v>
      </c>
    </row>
    <row r="101" spans="1:8" ht="35.25" customHeight="1" x14ac:dyDescent="0.3">
      <c r="A101" s="14" t="s">
        <v>11</v>
      </c>
      <c r="B101" s="23">
        <v>45980</v>
      </c>
      <c r="C101" s="24" t="str">
        <f>"1°rata partecipazione finanziaria progetto  integrale forestale Corona dei Pinci"</f>
        <v>1°rata partecipazione finanziaria progetto  integrale forestale Corona dei Pinci</v>
      </c>
      <c r="D101" s="18" t="s">
        <v>13</v>
      </c>
      <c r="E101" s="16" t="s">
        <v>12</v>
      </c>
      <c r="F101" s="15" t="str">
        <f>"Patriziato di Losone Contrada San Giorgio 7 6616 Losone"</f>
        <v>Patriziato di Losone Contrada San Giorgio 7 6616 Losone</v>
      </c>
      <c r="G101" s="25">
        <v>35000</v>
      </c>
    </row>
    <row r="102" spans="1:8" ht="42.75" customHeight="1" x14ac:dyDescent="0.3">
      <c r="A102" s="14" t="s">
        <v>11</v>
      </c>
      <c r="B102" s="23">
        <v>45842</v>
      </c>
      <c r="C102" s="24" t="str">
        <f>"Posa pavimento appartamento ex-inquilino  Bettoni"</f>
        <v>Posa pavimento appartamento ex-inquilino  Bettoni</v>
      </c>
      <c r="D102" s="18" t="s">
        <v>0</v>
      </c>
      <c r="E102" s="16" t="s">
        <v>12</v>
      </c>
      <c r="F102" s="15" t="str">
        <f>"Pedrazzi Pavimenti SA Via della Posta 13 6600 Locarno"</f>
        <v>Pedrazzi Pavimenti SA Via della Posta 13 6600 Locarno</v>
      </c>
      <c r="G102" s="25">
        <v>6177.96</v>
      </c>
    </row>
    <row r="103" spans="1:8" ht="27.75" customHeight="1" x14ac:dyDescent="0.3">
      <c r="A103" s="14" t="s">
        <v>11</v>
      </c>
      <c r="B103" s="23">
        <v>45716</v>
      </c>
      <c r="C103" s="24" t="str">
        <f>"Nota professionale, ricorso modifica PR, ricorso  A. Hefti, ricorso P. Schildknecht"</f>
        <v>Nota professionale, ricorso modifica PR, ricorso  A. Hefti, ricorso P. Schildknecht</v>
      </c>
      <c r="D103" s="18" t="s">
        <v>0</v>
      </c>
      <c r="E103" s="16" t="s">
        <v>12</v>
      </c>
      <c r="F103" s="15" t="str">
        <f>"Pedrazzini  Avv. Dr. Franco Via Ciseri 2b 6600 Locarno"</f>
        <v>Pedrazzini  Avv. Dr. Franco Via Ciseri 2b 6600 Locarno</v>
      </c>
      <c r="G103" s="25">
        <v>5451.25</v>
      </c>
    </row>
    <row r="104" spans="1:8" ht="35.25" customHeight="1" x14ac:dyDescent="0.3">
      <c r="A104" s="14" t="s">
        <v>11</v>
      </c>
      <c r="B104" s="23">
        <v>45716</v>
      </c>
      <c r="C104" s="24" t="str">
        <f>"Opere da piastrellista - nuovo magazzino comunale"</f>
        <v>Opere da piastrellista - nuovo magazzino comunale</v>
      </c>
      <c r="D104" s="18" t="s">
        <v>0</v>
      </c>
      <c r="E104" s="16" t="s">
        <v>12</v>
      </c>
      <c r="F104" s="15" t="str">
        <f>"Pedroja Sagl Via Brione 167 6645 Brione s/Minusio"</f>
        <v>Pedroja Sagl Via Brione 167 6645 Brione s/Minusio</v>
      </c>
      <c r="G104" s="25">
        <v>7048.8</v>
      </c>
    </row>
    <row r="105" spans="1:8" ht="35.25" customHeight="1" x14ac:dyDescent="0.3">
      <c r="A105" s="14" t="s">
        <v>11</v>
      </c>
      <c r="B105" s="23">
        <v>45761</v>
      </c>
      <c r="C105" s="24" t="str">
        <f>"Servizio invernale cala neve  2024/2025"</f>
        <v>Servizio invernale cala neve  2024/2025</v>
      </c>
      <c r="D105" s="18" t="s">
        <v>2</v>
      </c>
      <c r="E105" s="16" t="s">
        <v>12</v>
      </c>
      <c r="F105" s="15" t="str">
        <f>"Pescheria di Giovanni Palmieri Via Bertogna 13 6614 Brissago"</f>
        <v>Pescheria di Giovanni Palmieri Via Bertogna 13 6614 Brissago</v>
      </c>
      <c r="G105" s="25">
        <v>5969.3</v>
      </c>
    </row>
    <row r="106" spans="1:8" ht="35.25" customHeight="1" x14ac:dyDescent="0.3">
      <c r="A106" s="14" t="s">
        <v>11</v>
      </c>
      <c r="B106" s="23">
        <v>45743</v>
      </c>
      <c r="C106" s="24" t="str">
        <f>"1.acconto opere da impianto riscaldamento e  sanitario - nuovo magazzino comunale"</f>
        <v>1.acconto opere da impianto riscaldamento e  sanitario - nuovo magazzino comunale</v>
      </c>
      <c r="D106" s="18" t="s">
        <v>0</v>
      </c>
      <c r="E106" s="16" t="s">
        <v>12</v>
      </c>
      <c r="F106" s="15" t="str">
        <f>"Pidò Idrotermica SA 6616 Losone"</f>
        <v>Pidò Idrotermica SA 6616 Losone</v>
      </c>
      <c r="G106" s="25">
        <v>50000</v>
      </c>
    </row>
    <row r="107" spans="1:8" ht="35.25" customHeight="1" x14ac:dyDescent="0.3">
      <c r="A107" s="14" t="s">
        <v>11</v>
      </c>
      <c r="B107" s="23">
        <v>45944</v>
      </c>
      <c r="C107" s="24" t="str">
        <f>"Saldo opere impianto di riscaldamento e sanitario  - nuovo magazzino comunale"</f>
        <v>Saldo opere impianto di riscaldamento e sanitario  - nuovo magazzino comunale</v>
      </c>
      <c r="D107" s="18" t="s">
        <v>0</v>
      </c>
      <c r="E107" s="16" t="s">
        <v>12</v>
      </c>
      <c r="F107" s="15" t="str">
        <f>"Pidò Idrotermica SA 6616 Losone"</f>
        <v>Pidò Idrotermica SA 6616 Losone</v>
      </c>
      <c r="G107" s="25">
        <v>36117.800000000003</v>
      </c>
    </row>
    <row r="108" spans="1:8" ht="35.25" customHeight="1" x14ac:dyDescent="0.3">
      <c r="A108" s="14" t="s">
        <v>11</v>
      </c>
      <c r="B108" s="23">
        <v>45853</v>
      </c>
      <c r="C108" s="24" t="str">
        <f>"Saldo lavori installazioni elettriche - nuovo  magazzino comunale"</f>
        <v>Saldo lavori installazioni elettriche - nuovo  magazzino comunale</v>
      </c>
      <c r="D108" s="18" t="s">
        <v>0</v>
      </c>
      <c r="E108" s="16" t="s">
        <v>12</v>
      </c>
      <c r="F108" s="15" t="str">
        <f>"pinoja Impianti sa Via Municipio 12 6616 Losone"</f>
        <v>pinoja Impianti sa Via Municipio 12 6616 Losone</v>
      </c>
      <c r="G108" s="25">
        <v>17000</v>
      </c>
    </row>
    <row r="109" spans="1:8" ht="35.25" customHeight="1" x14ac:dyDescent="0.3">
      <c r="A109" s="14" t="s">
        <v>11</v>
      </c>
      <c r="B109" s="23">
        <v>45737</v>
      </c>
      <c r="C109" s="24" t="str">
        <f>"Installazioni elettriche - nuovo magazzino  comunale"</f>
        <v>Installazioni elettriche - nuovo magazzino  comunale</v>
      </c>
      <c r="D109" s="18" t="s">
        <v>0</v>
      </c>
      <c r="E109" s="16" t="s">
        <v>12</v>
      </c>
      <c r="F109" s="15" t="str">
        <f>"pinoja Impianti sa Via Municipio 12 6616 Losone"</f>
        <v>pinoja Impianti sa Via Municipio 12 6616 Losone</v>
      </c>
      <c r="G109" s="25">
        <v>10000</v>
      </c>
    </row>
    <row r="110" spans="1:8" ht="35.25" customHeight="1" x14ac:dyDescent="0.3">
      <c r="A110" s="14" t="s">
        <v>11</v>
      </c>
      <c r="B110" s="23">
        <v>45869</v>
      </c>
      <c r="C110" s="24" t="str">
        <f>"1.acconto progettazione videosorveglianza  intercomunale"</f>
        <v>1.acconto progettazione videosorveglianza  intercomunale</v>
      </c>
      <c r="D110" s="18" t="s">
        <v>2</v>
      </c>
      <c r="E110" s="16" t="s">
        <v>12</v>
      </c>
      <c r="F110" s="15" t="str">
        <f>"Piramide Informatica Via Arbigo 7 6616 Losone"</f>
        <v>Piramide Informatica Via Arbigo 7 6616 Losone</v>
      </c>
      <c r="G110" s="25">
        <v>6400</v>
      </c>
    </row>
    <row r="111" spans="1:8" ht="35.25" customHeight="1" x14ac:dyDescent="0.3">
      <c r="A111" s="14" t="s">
        <v>11</v>
      </c>
      <c r="B111" s="23">
        <v>45777</v>
      </c>
      <c r="C111" s="24" t="str">
        <f>"Rifornimento olio combustibile casa comunale"</f>
        <v>Rifornimento olio combustibile casa comunale</v>
      </c>
      <c r="D111" s="18" t="s">
        <v>1</v>
      </c>
      <c r="E111" s="16" t="s">
        <v>12</v>
      </c>
      <c r="F111" s="15" t="str">
        <f>"Prato Tullio &amp; Figli Sagl 6614 Brissago"</f>
        <v>Prato Tullio &amp; Figli Sagl 6614 Brissago</v>
      </c>
      <c r="G111" s="25">
        <v>16268.55</v>
      </c>
    </row>
    <row r="112" spans="1:8" ht="35.25" customHeight="1" x14ac:dyDescent="0.3">
      <c r="A112" s="14" t="s">
        <v>11</v>
      </c>
      <c r="B112" s="23">
        <v>45678</v>
      </c>
      <c r="C112" s="24" t="str">
        <f>"Nuovo vestiario operai squadra esterna  comunale"</f>
        <v>Nuovo vestiario operai squadra esterna  comunale</v>
      </c>
      <c r="D112" s="18" t="s">
        <v>1</v>
      </c>
      <c r="E112" s="16" t="s">
        <v>12</v>
      </c>
      <c r="F112" s="15" t="str">
        <f>"Protex AG Sagmattstrasse 9 4710 Balsthal"</f>
        <v>Protex AG Sagmattstrasse 9 4710 Balsthal</v>
      </c>
      <c r="G112" s="25">
        <v>14754.15</v>
      </c>
    </row>
    <row r="113" spans="1:7" ht="35.25" customHeight="1" x14ac:dyDescent="0.3">
      <c r="A113" s="14" t="s">
        <v>11</v>
      </c>
      <c r="B113" s="23">
        <v>45741</v>
      </c>
      <c r="C113" s="24" t="str">
        <f>"Opere da ponteggi ripristino stabile ex-scuole  comunali"</f>
        <v>Opere da ponteggi ripristino stabile ex-scuole  comunali</v>
      </c>
      <c r="D113" s="18" t="s">
        <v>1</v>
      </c>
      <c r="E113" s="16" t="s">
        <v>12</v>
      </c>
      <c r="F113" s="15" t="str">
        <f>"PUNTO PONTEGGI DI ZECCA G. Via Quadri 10 6572 Quartino"</f>
        <v>PUNTO PONTEGGI DI ZECCA G. Via Quadri 10 6572 Quartino</v>
      </c>
      <c r="G113" s="25">
        <v>15000</v>
      </c>
    </row>
    <row r="114" spans="1:7" ht="35.25" customHeight="1" x14ac:dyDescent="0.3">
      <c r="A114" s="14" t="s">
        <v>11</v>
      </c>
      <c r="B114" s="23">
        <v>45685</v>
      </c>
      <c r="C114" s="24" t="str">
        <f>"Messa in sicurezza parete rocciosa mapp. 1596  in Via Patrizia"</f>
        <v>Messa in sicurezza parete rocciosa mapp. 1596  in Via Patrizia</v>
      </c>
      <c r="D114" s="18" t="s">
        <v>2</v>
      </c>
      <c r="E114" s="16" t="s">
        <v>12</v>
      </c>
      <c r="F114" s="15" t="str">
        <f>"RISANAROCCIA SA Via Santa Maria 66 6596 Gordola"</f>
        <v>RISANAROCCIA SA Via Santa Maria 66 6596 Gordola</v>
      </c>
      <c r="G114" s="25">
        <v>20613.95</v>
      </c>
    </row>
    <row r="115" spans="1:7" ht="35.25" customHeight="1" x14ac:dyDescent="0.3">
      <c r="A115" s="14" t="s">
        <v>11</v>
      </c>
      <c r="B115" s="23">
        <v>46006</v>
      </c>
      <c r="C115" s="24" t="str">
        <f>"Saldo fornitura e posa lamiere pergola  Ristorante Centro"</f>
        <v>Saldo fornitura e posa lamiere pergola  Ristorante Centro</v>
      </c>
      <c r="D115" s="18" t="s">
        <v>1</v>
      </c>
      <c r="E115" s="16" t="s">
        <v>12</v>
      </c>
      <c r="F115" s="15" t="str">
        <f>"Rogica SA Via S. Bernardino 10 6532 Castione"</f>
        <v>Rogica SA Via S. Bernardino 10 6532 Castione</v>
      </c>
      <c r="G115" s="25">
        <v>11650</v>
      </c>
    </row>
    <row r="116" spans="1:7" ht="35.25" customHeight="1" x14ac:dyDescent="0.3">
      <c r="A116" s="14" t="s">
        <v>11</v>
      </c>
      <c r="B116" s="23">
        <v>45694</v>
      </c>
      <c r="C116" s="24" t="str">
        <f>"Saldo finale concetto globale antincendio e misure  di potenziamento"</f>
        <v>Saldo finale concetto globale antincendio e misure  di potenziamento</v>
      </c>
      <c r="D116" s="18" t="s">
        <v>2</v>
      </c>
      <c r="E116" s="16" t="s">
        <v>12</v>
      </c>
      <c r="F116" s="15" t="str">
        <f>"Ryf  Francesco 6808 Torricella"</f>
        <v>Ryf  Francesco 6808 Torricella</v>
      </c>
      <c r="G116" s="25">
        <v>5700</v>
      </c>
    </row>
    <row r="117" spans="1:7" ht="35.25" customHeight="1" x14ac:dyDescent="0.3">
      <c r="A117" s="14" t="s">
        <v>11</v>
      </c>
      <c r="B117" s="23">
        <v>46022</v>
      </c>
      <c r="C117" s="24" t="str">
        <f>"Costo infrastrutture illuminazione pubblica  2025"</f>
        <v>Costo infrastrutture illuminazione pubblica  2025</v>
      </c>
      <c r="D117" s="18" t="s">
        <v>2</v>
      </c>
      <c r="E117" s="16" t="s">
        <v>12</v>
      </c>
      <c r="F117" s="15" t="str">
        <f>"SES Società Elettrica  Sopracenerina Piazza Grande 5 6600 Locarno"</f>
        <v>SES Società Elettrica  Sopracenerina Piazza Grande 5 6600 Locarno</v>
      </c>
      <c r="G117" s="25">
        <v>15515</v>
      </c>
    </row>
    <row r="118" spans="1:7" ht="35.25" customHeight="1" x14ac:dyDescent="0.3">
      <c r="A118" s="14" t="s">
        <v>11</v>
      </c>
      <c r="B118" s="23">
        <v>45909</v>
      </c>
      <c r="C118" s="24" t="str">
        <f>"Opere di pavimentazione - rappezzi sulla strada  ai monti"</f>
        <v>Opere di pavimentazione - rappezzi sulla strada  ai monti</v>
      </c>
      <c r="D118" s="18" t="s">
        <v>0</v>
      </c>
      <c r="E118" s="16" t="s">
        <v>12</v>
      </c>
      <c r="F118" s="15" t="str">
        <f>"Società anonima impresa stradale Via al Ticino 11 6703 Osogna"</f>
        <v>Società anonima impresa stradale Via al Ticino 11 6703 Osogna</v>
      </c>
      <c r="G118" s="25">
        <v>9783</v>
      </c>
    </row>
    <row r="119" spans="1:7" ht="35.25" customHeight="1" x14ac:dyDescent="0.3">
      <c r="A119" s="14" t="s">
        <v>11</v>
      </c>
      <c r="B119" s="23">
        <v>45855</v>
      </c>
      <c r="C119" s="24" t="str">
        <f>"Opere di pavimentazione,  rappezzi e colmataggi  in Via ai Monti"</f>
        <v>Opere di pavimentazione,  rappezzi e colmataggi  in Via ai Monti</v>
      </c>
      <c r="D119" s="18" t="s">
        <v>0</v>
      </c>
      <c r="E119" s="16" t="s">
        <v>12</v>
      </c>
      <c r="F119" s="15" t="str">
        <f>"Società anonima impresa stradale Via al Ticino 11 6703 Osogna"</f>
        <v>Società anonima impresa stradale Via al Ticino 11 6703 Osogna</v>
      </c>
      <c r="G119" s="25">
        <v>13503.85</v>
      </c>
    </row>
    <row r="120" spans="1:7" ht="35.25" customHeight="1" x14ac:dyDescent="0.3">
      <c r="A120" s="14" t="s">
        <v>11</v>
      </c>
      <c r="B120" s="23">
        <v>45695</v>
      </c>
      <c r="C120" s="24" t="str">
        <f>"Manutenzione ordinaria e aggiornamento  sito web 2025"</f>
        <v>Manutenzione ordinaria e aggiornamento  sito web 2025</v>
      </c>
      <c r="D120" s="18" t="s">
        <v>2</v>
      </c>
      <c r="E120" s="16" t="s">
        <v>12</v>
      </c>
      <c r="F120" s="15" t="str">
        <f>"Studio Cose G.Rusca 3 6862 Rancate"</f>
        <v>Studio Cose G.Rusca 3 6862 Rancate</v>
      </c>
      <c r="G120" s="25">
        <v>6226.6</v>
      </c>
    </row>
    <row r="121" spans="1:7" ht="35.25" customHeight="1" x14ac:dyDescent="0.3">
      <c r="A121" s="14" t="s">
        <v>11</v>
      </c>
      <c r="B121" s="23">
        <v>45931</v>
      </c>
      <c r="C121" s="24" t="str">
        <f>"Accompagnamento commissioni cura e  cultura del territorio"</f>
        <v>Accompagnamento commissioni cura e  cultura del territorio</v>
      </c>
      <c r="D121" s="18" t="s">
        <v>2</v>
      </c>
      <c r="E121" s="16" t="s">
        <v>12</v>
      </c>
      <c r="F121" s="15" t="str">
        <f>"Studio di architettura  e pianificazione Guscetti Via Verbano 17 6648 Minusio"</f>
        <v>Studio di architettura  e pianificazione Guscetti Via Verbano 17 6648 Minusio</v>
      </c>
      <c r="G121" s="25">
        <v>12310.45</v>
      </c>
    </row>
    <row r="122" spans="1:7" ht="35.25" customHeight="1" x14ac:dyDescent="0.3">
      <c r="A122" s="14" t="s">
        <v>11</v>
      </c>
      <c r="B122" s="23">
        <v>45744</v>
      </c>
      <c r="C122" s="24" t="str">
        <f>"Onorario ingegnere - opere di premunizione per  renderle sussidiabili"</f>
        <v>Onorario ingegnere - opere di premunizione per  renderle sussidiabili</v>
      </c>
      <c r="D122" s="18" t="s">
        <v>2</v>
      </c>
      <c r="E122" s="16" t="s">
        <v>12</v>
      </c>
      <c r="F122" s="15" t="str">
        <f>"Studio di ingegneria  Bloch Roussette Casale SA Via dei Pioppi 10 6616 Losone"</f>
        <v>Studio di ingegneria  Bloch Roussette Casale SA Via dei Pioppi 10 6616 Losone</v>
      </c>
      <c r="G122" s="25">
        <v>25944</v>
      </c>
    </row>
    <row r="123" spans="1:7" ht="35.25" customHeight="1" x14ac:dyDescent="0.3">
      <c r="A123" s="14" t="s">
        <v>11</v>
      </c>
      <c r="B123" s="23">
        <v>45987</v>
      </c>
      <c r="C123" s="24" t="str">
        <f>"Approfondimento PM - opere di premunizione  dissesto idrogeologico dei riali a Ronco"</f>
        <v>Approfondimento PM - opere di premunizione  dissesto idrogeologico dei riali a Ronco</v>
      </c>
      <c r="D123" s="18" t="s">
        <v>2</v>
      </c>
      <c r="E123" s="16" t="s">
        <v>12</v>
      </c>
      <c r="F123" s="15" t="str">
        <f>"Studio di ingegneria  Bloch Roussette Casale SA Via dei Pioppi 10 6616 Losone"</f>
        <v>Studio di ingegneria  Bloch Roussette Casale SA Via dei Pioppi 10 6616 Losone</v>
      </c>
      <c r="G123" s="25">
        <v>5405</v>
      </c>
    </row>
    <row r="124" spans="1:7" ht="35.25" customHeight="1" x14ac:dyDescent="0.3">
      <c r="A124" s="14" t="s">
        <v>11</v>
      </c>
      <c r="B124" s="23">
        <v>45800</v>
      </c>
      <c r="C124" s="24" t="str">
        <f>"Progetto definitivo - opere di premunizione riali  non sussidiabili"</f>
        <v>Progetto definitivo - opere di premunizione riali  non sussidiabili</v>
      </c>
      <c r="D124" s="18" t="s">
        <v>2</v>
      </c>
      <c r="E124" s="16" t="s">
        <v>12</v>
      </c>
      <c r="F124" s="15" t="str">
        <f>"Studio di ingegneria  Bloch Roussette Casale SA Via dei Pioppi 10 6616 Losone"</f>
        <v>Studio di ingegneria  Bloch Roussette Casale SA Via dei Pioppi 10 6616 Losone</v>
      </c>
      <c r="G124" s="25">
        <v>7567</v>
      </c>
    </row>
    <row r="125" spans="1:7" ht="35.25" customHeight="1" x14ac:dyDescent="0.3">
      <c r="A125" s="14" t="s">
        <v>11</v>
      </c>
      <c r="B125" s="23">
        <v>45777</v>
      </c>
      <c r="C125" s="24" t="str">
        <f>"2.acconto onorario ingegnere - opere di  premunizione per renderle sussidiabili"</f>
        <v>2.acconto onorario ingegnere - opere di  premunizione per renderle sussidiabili</v>
      </c>
      <c r="D125" s="18" t="s">
        <v>2</v>
      </c>
      <c r="E125" s="16" t="s">
        <v>12</v>
      </c>
      <c r="F125" s="15" t="str">
        <f>"Studio di ingegneria  Bloch Roussette Casale SA Via dei Pioppi 10 6616 Losone"</f>
        <v>Studio di ingegneria  Bloch Roussette Casale SA Via dei Pioppi 10 6616 Losone</v>
      </c>
      <c r="G125" s="25">
        <v>7567</v>
      </c>
    </row>
    <row r="126" spans="1:7" ht="35.25" customHeight="1" x14ac:dyDescent="0.3">
      <c r="A126" s="14" t="s">
        <v>11</v>
      </c>
      <c r="B126" s="23">
        <v>45960</v>
      </c>
      <c r="C126" s="24" t="str">
        <f>"Consulenza strategia di gestione posteggi e  calcolo fabbisogno zona ""Montagna"""</f>
        <v>Consulenza strategia di gestione posteggi e  calcolo fabbisogno zona "Montagna"</v>
      </c>
      <c r="D126" s="18" t="s">
        <v>2</v>
      </c>
      <c r="E126" s="16" t="s">
        <v>12</v>
      </c>
      <c r="F126" s="15" t="str">
        <f>"Studio d'ingegneria Francesco Allievi SA Viale Papio 5 6612 Ascona"</f>
        <v>Studio d'ingegneria Francesco Allievi SA Viale Papio 5 6612 Ascona</v>
      </c>
      <c r="G126" s="25">
        <v>5206.05</v>
      </c>
    </row>
    <row r="127" spans="1:7" ht="35.25" customHeight="1" x14ac:dyDescent="0.3">
      <c r="A127" s="14" t="s">
        <v>11</v>
      </c>
      <c r="B127" s="23">
        <v>45930</v>
      </c>
      <c r="C127" s="24" t="str">
        <f>"Consulenza gestione coordinata e regolamentazione  dei posteggi pubblici"</f>
        <v>Consulenza gestione coordinata e regolamentazione  dei posteggi pubblici</v>
      </c>
      <c r="D127" s="18" t="s">
        <v>2</v>
      </c>
      <c r="E127" s="16" t="s">
        <v>12</v>
      </c>
      <c r="F127" s="15" t="str">
        <f>"Studio d'ingegneria Francesco Allievi SA Viale Papio 5 6612 Ascona"</f>
        <v>Studio d'ingegneria Francesco Allievi SA Viale Papio 5 6612 Ascona</v>
      </c>
      <c r="G127" s="25">
        <v>8333.4500000000007</v>
      </c>
    </row>
    <row r="128" spans="1:7" ht="35.25" customHeight="1" x14ac:dyDescent="0.3">
      <c r="A128" s="14" t="s">
        <v>11</v>
      </c>
      <c r="B128" s="23">
        <v>45897</v>
      </c>
      <c r="C128" s="24" t="str">
        <f>"Consulenza gestione coordinata e regolamentazione  dei posteggi pubblici"</f>
        <v>Consulenza gestione coordinata e regolamentazione  dei posteggi pubblici</v>
      </c>
      <c r="D128" s="18" t="s">
        <v>2</v>
      </c>
      <c r="E128" s="16" t="s">
        <v>12</v>
      </c>
      <c r="F128" s="15" t="str">
        <f>"Studio d'ingegneria Francesco Allievi SA Viale Papio 5 6612 Ascona"</f>
        <v>Studio d'ingegneria Francesco Allievi SA Viale Papio 5 6612 Ascona</v>
      </c>
      <c r="G128" s="25">
        <v>5407.45</v>
      </c>
    </row>
    <row r="129" spans="1:7" ht="35.25" customHeight="1" x14ac:dyDescent="0.3">
      <c r="A129" s="14" t="s">
        <v>11</v>
      </c>
      <c r="B129" s="23">
        <v>45959</v>
      </c>
      <c r="C129" s="24" t="str">
        <f>"PR Ronco s/Ascona - adattamenti PR a LST e  varianti in corso"</f>
        <v>PR Ronco s/Ascona - adattamenti PR a LST e  varianti in corso</v>
      </c>
      <c r="D129" s="18" t="s">
        <v>2</v>
      </c>
      <c r="E129" s="16" t="s">
        <v>12</v>
      </c>
      <c r="F129" s="15" t="str">
        <f>"STUDIO HABITAT.CH SA Via Stazione 6501 Bellinzona"</f>
        <v>STUDIO HABITAT.CH SA Via Stazione 6501 Bellinzona</v>
      </c>
      <c r="G129" s="25">
        <v>12904.15</v>
      </c>
    </row>
    <row r="130" spans="1:7" ht="35.25" customHeight="1" x14ac:dyDescent="0.3">
      <c r="A130" s="14" t="s">
        <v>11</v>
      </c>
      <c r="B130" s="23">
        <v>45959</v>
      </c>
      <c r="C130" s="24" t="str">
        <f>"PR Ronco s/Ascona, variante di PR ""Modifiche  puntuali delle NAPR"" con procedura separata"</f>
        <v>PR Ronco s/Ascona, variante di PR "Modifiche  puntuali delle NAPR" con procedura separata</v>
      </c>
      <c r="D130" s="18" t="s">
        <v>2</v>
      </c>
      <c r="E130" s="16" t="s">
        <v>12</v>
      </c>
      <c r="F130" s="15" t="str">
        <f>"STUDIO HABITAT.CH SA Via Stazione 6501 Bellinzona"</f>
        <v>STUDIO HABITAT.CH SA Via Stazione 6501 Bellinzona</v>
      </c>
      <c r="G130" s="25">
        <v>6453.15</v>
      </c>
    </row>
    <row r="131" spans="1:7" ht="35.25" customHeight="1" x14ac:dyDescent="0.3">
      <c r="A131" s="14" t="s">
        <v>11</v>
      </c>
      <c r="B131" s="23">
        <v>45954</v>
      </c>
      <c r="C131" s="24" t="str">
        <f>"PR Ronco s/Ascona, verifica dimensionamento del PR"</f>
        <v>PR Ronco s/Ascona, verifica dimensionamento del PR</v>
      </c>
      <c r="D131" s="18" t="s">
        <v>2</v>
      </c>
      <c r="E131" s="16" t="s">
        <v>12</v>
      </c>
      <c r="F131" s="15" t="str">
        <f>"STUDIO HABITAT.CH SA Via Stazione 6501 Bellinzona"</f>
        <v>STUDIO HABITAT.CH SA Via Stazione 6501 Bellinzona</v>
      </c>
      <c r="G131" s="25">
        <v>10508</v>
      </c>
    </row>
    <row r="132" spans="1:7" ht="35.25" customHeight="1" x14ac:dyDescent="0.3">
      <c r="A132" s="14" t="s">
        <v>11</v>
      </c>
      <c r="B132" s="23">
        <v>45754</v>
      </c>
      <c r="C132" s="24" t="str">
        <f>"Prestazioni legali e notarili in relazione al  concorso ""Comparto Due Cappelle"""</f>
        <v>Prestazioni legali e notarili in relazione al  concorso "Comparto Due Cappelle"</v>
      </c>
      <c r="D132" s="18" t="s">
        <v>2</v>
      </c>
      <c r="E132" s="16" t="s">
        <v>12</v>
      </c>
      <c r="F132" s="15" t="str">
        <f>"Studio legale e notarile  Parini - Taddei Marsigli Via Peri 17 6900 Lugano"</f>
        <v>Studio legale e notarile  Parini - Taddei Marsigli Via Peri 17 6900 Lugano</v>
      </c>
      <c r="G132" s="25">
        <v>9052.15</v>
      </c>
    </row>
    <row r="133" spans="1:7" ht="35.25" customHeight="1" x14ac:dyDescent="0.3">
      <c r="A133" s="14" t="s">
        <v>11</v>
      </c>
      <c r="B133" s="23">
        <v>46008</v>
      </c>
      <c r="C133" s="24" t="str">
        <f>"Profilatura scarpata carico e sgombero materiale  ai Monti di Ronco"</f>
        <v>Profilatura scarpata carico e sgombero materiale  ai Monti di Ronco</v>
      </c>
      <c r="D133" s="18" t="s">
        <v>13</v>
      </c>
      <c r="E133" s="16" t="s">
        <v>12</v>
      </c>
      <c r="F133" s="15" t="str">
        <f>"Teti Costruzioni Sagl Via Ronco 2 6622 Ronco sopra Ascona"</f>
        <v>Teti Costruzioni Sagl Via Ronco 2 6622 Ronco sopra Ascona</v>
      </c>
      <c r="G133" s="25">
        <v>12555.82</v>
      </c>
    </row>
    <row r="134" spans="1:7" ht="35.25" customHeight="1" x14ac:dyDescent="0.3">
      <c r="A134" s="14" t="s">
        <v>11</v>
      </c>
      <c r="B134" s="23">
        <v>45994</v>
      </c>
      <c r="C134" s="24" t="str">
        <f>"Servizio invernale per le strade intervento  2025/2026"</f>
        <v>Servizio invernale per le strade intervento  2025/2026</v>
      </c>
      <c r="D134" s="18" t="s">
        <v>2</v>
      </c>
      <c r="E134" s="16" t="s">
        <v>12</v>
      </c>
      <c r="F134" s="15" t="str">
        <f>"Teti Costruzioni Sagl Via Ronco 2 6622 Ronco sopra Ascona"</f>
        <v>Teti Costruzioni Sagl Via Ronco 2 6622 Ronco sopra Ascona</v>
      </c>
      <c r="G134" s="25">
        <v>9188.5</v>
      </c>
    </row>
    <row r="135" spans="1:7" ht="35.25" customHeight="1" x14ac:dyDescent="0.3">
      <c r="A135" s="14" t="s">
        <v>11</v>
      </c>
      <c r="B135" s="23">
        <v>45943</v>
      </c>
      <c r="C135" s="24" t="str">
        <f>"Opere impermeabilizzazione - stabile  ex-scuole comunali"</f>
        <v>Opere impermeabilizzazione - stabile  ex-scuole comunali</v>
      </c>
      <c r="D135" s="18" t="s">
        <v>0</v>
      </c>
      <c r="E135" s="16" t="s">
        <v>12</v>
      </c>
      <c r="F135" s="15" t="str">
        <f>"Torsetta SA Via Santa Maria 60 6596 Gordola"</f>
        <v>Torsetta SA Via Santa Maria 60 6596 Gordola</v>
      </c>
      <c r="G135" s="25">
        <v>20000</v>
      </c>
    </row>
    <row r="136" spans="1:7" ht="35.25" customHeight="1" x14ac:dyDescent="0.3">
      <c r="A136" s="14" t="s">
        <v>11</v>
      </c>
      <c r="B136" s="23">
        <v>45958</v>
      </c>
      <c r="C136" s="24" t="str">
        <f>"Manutenzione aiuole 2025 - Comune"</f>
        <v>Manutenzione aiuole 2025 - Comune</v>
      </c>
      <c r="D136" s="18" t="s">
        <v>2</v>
      </c>
      <c r="E136" s="16" t="s">
        <v>12</v>
      </c>
      <c r="F136" s="15" t="str">
        <f>"Turba  Giansiro Via A. Ciseri 1 6622 Roncos sopra Ascona"</f>
        <v>Turba  Giansiro Via A. Ciseri 1 6622 Roncos sopra Ascona</v>
      </c>
      <c r="G136" s="25">
        <v>6756.1</v>
      </c>
    </row>
    <row r="137" spans="1:7" ht="35.25" customHeight="1" x14ac:dyDescent="0.3">
      <c r="A137" s="14" t="s">
        <v>11</v>
      </c>
      <c r="B137" s="23">
        <v>45841</v>
      </c>
      <c r="C137" s="24" t="str">
        <f>"Saldo impianto fotovoltaico - nuovo magazzino  comunale"</f>
        <v>Saldo impianto fotovoltaico - nuovo magazzino  comunale</v>
      </c>
      <c r="D137" s="18" t="s">
        <v>2</v>
      </c>
      <c r="E137" s="16" t="s">
        <v>12</v>
      </c>
      <c r="F137" s="15" t="str">
        <f>"UM Consulenza Tetti Sagl Via Ronco 34 6622 Roncos sopra Ascona"</f>
        <v>UM Consulenza Tetti Sagl Via Ronco 34 6622 Roncos sopra Ascona</v>
      </c>
      <c r="G137" s="25">
        <v>7530.2</v>
      </c>
    </row>
    <row r="138" spans="1:7" ht="35.25" customHeight="1" x14ac:dyDescent="0.3">
      <c r="A138" s="14" t="s">
        <v>11</v>
      </c>
      <c r="B138" s="23">
        <v>45860</v>
      </c>
      <c r="C138" s="24" t="str">
        <f>"Pulizie caditoie nucleo"</f>
        <v>Pulizie caditoie nucleo</v>
      </c>
      <c r="D138" s="18" t="s">
        <v>13</v>
      </c>
      <c r="E138" s="16" t="s">
        <v>12</v>
      </c>
      <c r="F138" s="15" t="str">
        <f>"Valchisa SA Via Cantonale 38a 6595 Riazzino"</f>
        <v>Valchisa SA Via Cantonale 38a 6595 Riazzino</v>
      </c>
      <c r="G138" s="25">
        <v>6771.4</v>
      </c>
    </row>
    <row r="139" spans="1:7" ht="35.25" customHeight="1" x14ac:dyDescent="0.3">
      <c r="A139" s="14" t="s">
        <v>11</v>
      </c>
      <c r="B139" s="23">
        <v>45797</v>
      </c>
      <c r="C139" s="24" t="str">
        <f>"Pulizie caditoie monti di Ronco"</f>
        <v>Pulizie caditoie monti di Ronco</v>
      </c>
      <c r="D139" s="18" t="s">
        <v>13</v>
      </c>
      <c r="E139" s="16" t="s">
        <v>12</v>
      </c>
      <c r="F139" s="15" t="str">
        <f>"Valchisa SA Via Cantonale 38a 6595 Riazzino"</f>
        <v>Valchisa SA Via Cantonale 38a 6595 Riazzino</v>
      </c>
      <c r="G139" s="25">
        <v>6317.9</v>
      </c>
    </row>
    <row r="140" spans="1:7" ht="35.25" customHeight="1" x14ac:dyDescent="0.3">
      <c r="A140" s="14" t="s">
        <v>11</v>
      </c>
      <c r="B140" s="23">
        <v>46008</v>
      </c>
      <c r="C140" s="24" t="str">
        <f>"Nuove sottostrutture sentiero Mattarello  manutenzione illuminazione pubblica"</f>
        <v>Nuove sottostrutture sentiero Mattarello  manutenzione illuminazione pubblica</v>
      </c>
      <c r="D140" s="18" t="s">
        <v>13</v>
      </c>
      <c r="E140" s="16" t="s">
        <v>12</v>
      </c>
      <c r="F140" s="15" t="str">
        <f>"Verzeroli Elia e figli SA Via Livurcio 35 6622 Ronco sopra Ascona"</f>
        <v>Verzeroli Elia e figli SA Via Livurcio 35 6622 Ronco sopra Ascona</v>
      </c>
      <c r="G140" s="25">
        <v>5483.3</v>
      </c>
    </row>
    <row r="141" spans="1:7" ht="35.25" customHeight="1" x14ac:dyDescent="0.3">
      <c r="A141" s="14" t="s">
        <v>11</v>
      </c>
      <c r="B141" s="23">
        <v>46000</v>
      </c>
      <c r="C141" s="24" t="str">
        <f>"Risanamento scaricatori di piena"</f>
        <v>Risanamento scaricatori di piena</v>
      </c>
      <c r="D141" s="18" t="s">
        <v>13</v>
      </c>
      <c r="E141" s="16" t="s">
        <v>12</v>
      </c>
      <c r="F141" s="15" t="str">
        <f>"Verzeroli Elia e figli SA Via Livurcio 35 6622 Ronco sopra Ascona"</f>
        <v>Verzeroli Elia e figli SA Via Livurcio 35 6622 Ronco sopra Ascona</v>
      </c>
      <c r="G141" s="25">
        <v>32430</v>
      </c>
    </row>
    <row r="142" spans="1:7" ht="35.25" customHeight="1" x14ac:dyDescent="0.3">
      <c r="A142" s="14" t="s">
        <v>11</v>
      </c>
      <c r="B142" s="23">
        <v>45945</v>
      </c>
      <c r="C142" s="24" t="str">
        <f>"Opere impresario costruttore - posa fondazioni IP  in via F. Martina"</f>
        <v>Opere impresario costruttore - posa fondazioni IP  in via F. Martina</v>
      </c>
      <c r="D142" s="18" t="s">
        <v>13</v>
      </c>
      <c r="E142" s="16" t="s">
        <v>12</v>
      </c>
      <c r="F142" s="15" t="str">
        <f>"Verzeroli Elia e figli SA Via Livurcio 35 6622 Ronco sopra Ascona"</f>
        <v>Verzeroli Elia e figli SA Via Livurcio 35 6622 Ronco sopra Ascona</v>
      </c>
      <c r="G142" s="25">
        <v>7508</v>
      </c>
    </row>
    <row r="143" spans="1:7" ht="35.25" customHeight="1" x14ac:dyDescent="0.3">
      <c r="A143" s="14" t="s">
        <v>11</v>
      </c>
      <c r="B143" s="23">
        <v>46000</v>
      </c>
      <c r="C143" s="24" t="str">
        <f>"Saldo opere impresario costruttore - ripristino  ex-scuole comunali"</f>
        <v>Saldo opere impresario costruttore - ripristino  ex-scuole comunali</v>
      </c>
      <c r="D143" s="18" t="s">
        <v>0</v>
      </c>
      <c r="E143" s="16" t="s">
        <v>12</v>
      </c>
      <c r="F143" s="15" t="str">
        <f>"Verzeroli Elia e figli SA Via Livurcio 35 6622 Ronco sopra Ascona"</f>
        <v>Verzeroli Elia e figli SA Via Livurcio 35 6622 Ronco sopra Ascona</v>
      </c>
      <c r="G143" s="25">
        <v>49923.65</v>
      </c>
    </row>
    <row r="144" spans="1:7" ht="35.25" customHeight="1" x14ac:dyDescent="0.3">
      <c r="A144" s="14" t="s">
        <v>11</v>
      </c>
      <c r="B144" s="23">
        <v>45994</v>
      </c>
      <c r="C144" s="24" t="str">
        <f>"Prolungamento collettore comunale direzione  ex-scuole comunali"</f>
        <v>Prolungamento collettore comunale direzione  ex-scuole comunali</v>
      </c>
      <c r="D144" s="18" t="s">
        <v>0</v>
      </c>
      <c r="E144" s="16" t="s">
        <v>12</v>
      </c>
      <c r="F144" s="15" t="str">
        <f>"Verzeroli Elia e figli SA Via Livurcio 35 6622 Ronco sopra Ascona"</f>
        <v>Verzeroli Elia e figli SA Via Livurcio 35 6622 Ronco sopra Ascona</v>
      </c>
      <c r="G144" s="25">
        <v>10810</v>
      </c>
    </row>
    <row r="145" spans="1:7" ht="35.25" customHeight="1" x14ac:dyDescent="0.3">
      <c r="A145" s="14" t="s">
        <v>11</v>
      </c>
      <c r="B145" s="23">
        <v>45877</v>
      </c>
      <c r="C145" s="24" t="str">
        <f>"Furgone comunale FUSO Canter"</f>
        <v>Furgone comunale FUSO Canter</v>
      </c>
      <c r="D145" s="18" t="s">
        <v>1</v>
      </c>
      <c r="E145" s="16" t="s">
        <v>12</v>
      </c>
      <c r="F145" s="15" t="str">
        <f>"Winteler SA Via Mondari 7 6512 Giubiasco"</f>
        <v>Winteler SA Via Mondari 7 6512 Giubiasco</v>
      </c>
      <c r="G145" s="25">
        <v>60752.2</v>
      </c>
    </row>
    <row r="146" spans="1:7" ht="35.25" customHeight="1" x14ac:dyDescent="0.3">
      <c r="A146" s="14" t="s">
        <v>11</v>
      </c>
      <c r="B146" s="23">
        <v>45800</v>
      </c>
      <c r="C146" s="24" t="str">
        <f>"Fornitura e posa porte d'entrata e serramenti   in alluminio - nuovo magazzino comunale"</f>
        <v>Fornitura e posa porte d'entrata e serramenti   in alluminio - nuovo magazzino comunale</v>
      </c>
      <c r="D146" s="18" t="s">
        <v>1</v>
      </c>
      <c r="E146" s="16" t="s">
        <v>12</v>
      </c>
      <c r="F146" s="15" t="str">
        <f>"Zoka Roll Via ai Molini 3 6616 Losone "</f>
        <v xml:space="preserve">Zoka Roll Via ai Molini 3 6616 Losone </v>
      </c>
      <c r="G146" s="25">
        <v>26157.5</v>
      </c>
    </row>
  </sheetData>
  <sheetProtection selectLockedCells="1"/>
  <mergeCells count="1">
    <mergeCell ref="A7:G7"/>
  </mergeCells>
  <conditionalFormatting sqref="G13:G31">
    <cfRule type="cellIs" dxfId="0" priority="1" operator="greaterThan">
      <formula>#REF!</formula>
    </cfRule>
  </conditionalFormatting>
  <pageMargins left="0.59055118110236227" right="0.59055118110236227" top="0.59055118110236227" bottom="0.59055118110236227" header="0.31496062992125984" footer="0.31496062992125984"/>
  <pageSetup paperSize="9" scale="45" fitToHeight="4" orientation="landscape" r:id="rId1"/>
  <headerFooter>
    <oddHeader>&amp;L&amp;"-,Grassetto"&amp;20Comune di Ronco sopra Ascona</oddHeader>
    <oddFooter>&amp;L&amp;"Arial Narrow,Normale"&amp;9v. 31.07.2024
&amp;R&amp;"Arial Narrow,Normale"&amp;9Pagina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Foglio1!Print_Area</vt:lpstr>
      <vt:lpstr>Foglio1!Print_Titles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Polli Mirko / T139440</dc:creator>
  <cp:lastModifiedBy>Finanze – Comune di Ronco sopra Ascona</cp:lastModifiedBy>
  <cp:lastPrinted>2025-04-30T09:40:17Z</cp:lastPrinted>
  <dcterms:created xsi:type="dcterms:W3CDTF">2020-05-27T06:34:48Z</dcterms:created>
  <dcterms:modified xsi:type="dcterms:W3CDTF">2026-04-24T13:47:14Z</dcterms:modified>
</cp:coreProperties>
</file>